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nformacion\Documentos\0 Secretaría Planeacion\45 Informes\15 Derechos Pecuniarios\"/>
    </mc:Choice>
  </mc:AlternateContent>
  <bookViews>
    <workbookView xWindow="-15" yWindow="-15" windowWidth="13605" windowHeight="4935" tabRatio="850"/>
  </bookViews>
  <sheets>
    <sheet name="Contenido" sheetId="9" r:id="rId1"/>
    <sheet name="Valor de los proyectos 2017" sheetId="1" r:id="rId2"/>
    <sheet name="Presupuesto aprobado 2017" sheetId="2" r:id="rId3"/>
    <sheet name="Recursos para inversiones 2017" sheetId="3" r:id="rId4"/>
    <sheet name="Valores matrículas 2016 - 2017" sheetId="4" r:id="rId5"/>
    <sheet name="Otros conceptos 2016 - 2017" sheetId="8"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2" i="4" l="1"/>
  <c r="L262" i="4"/>
  <c r="T233" i="4"/>
  <c r="U233" i="4" s="1"/>
  <c r="V233" i="4" s="1"/>
  <c r="T236" i="4"/>
  <c r="U236" i="4" s="1"/>
  <c r="T240" i="4"/>
  <c r="U240" i="4" s="1"/>
  <c r="T249" i="4"/>
  <c r="U249" i="4" s="1"/>
  <c r="T253" i="4"/>
  <c r="U253" i="4" s="1"/>
  <c r="T209" i="4"/>
  <c r="U209" i="4" s="1"/>
  <c r="T213" i="4"/>
  <c r="U213" i="4" s="1"/>
  <c r="T217" i="4"/>
  <c r="U217" i="4" s="1"/>
  <c r="T221" i="4"/>
  <c r="U221" i="4" s="1"/>
  <c r="T225" i="4"/>
  <c r="U225" i="4" s="1"/>
  <c r="T229" i="4"/>
  <c r="U229" i="4" s="1"/>
  <c r="T205" i="4"/>
  <c r="U205" i="4" s="1"/>
  <c r="T173" i="4"/>
  <c r="U173" i="4" s="1"/>
  <c r="T178" i="4"/>
  <c r="U178" i="4" s="1"/>
  <c r="T183" i="4"/>
  <c r="U183" i="4" s="1"/>
  <c r="T159" i="4"/>
  <c r="U159" i="4" s="1"/>
  <c r="T163" i="4"/>
  <c r="U163" i="4" s="1"/>
  <c r="T168" i="4"/>
  <c r="U168" i="4" s="1"/>
  <c r="T143" i="4"/>
  <c r="U143" i="4" s="1"/>
  <c r="T147" i="4"/>
  <c r="U147" i="4" s="1"/>
  <c r="T151" i="4"/>
  <c r="U151" i="4" s="1"/>
  <c r="T155" i="4"/>
  <c r="U155" i="4" s="1"/>
  <c r="T134" i="4"/>
  <c r="U134" i="4" s="1"/>
  <c r="T139" i="4"/>
  <c r="U139" i="4" s="1"/>
  <c r="T100" i="4"/>
  <c r="U100" i="4" s="1"/>
  <c r="T104" i="4"/>
  <c r="U104" i="4" s="1"/>
  <c r="T85" i="4"/>
  <c r="U85" i="4" s="1"/>
  <c r="T90" i="4"/>
  <c r="U90" i="4" s="1"/>
  <c r="T95" i="4"/>
  <c r="U95" i="4" s="1"/>
  <c r="S259" i="4"/>
  <c r="T259" i="4" s="1"/>
  <c r="U259" i="4" s="1"/>
  <c r="S234" i="4"/>
  <c r="T234" i="4" s="1"/>
  <c r="U234" i="4" s="1"/>
  <c r="S235" i="4"/>
  <c r="T235" i="4" s="1"/>
  <c r="U235" i="4" s="1"/>
  <c r="S236" i="4"/>
  <c r="S237" i="4"/>
  <c r="T237" i="4" s="1"/>
  <c r="U237" i="4" s="1"/>
  <c r="S238" i="4"/>
  <c r="T238" i="4" s="1"/>
  <c r="U238" i="4" s="1"/>
  <c r="S239" i="4"/>
  <c r="T239" i="4" s="1"/>
  <c r="U239" i="4" s="1"/>
  <c r="S240" i="4"/>
  <c r="S242" i="4"/>
  <c r="T242" i="4" s="1"/>
  <c r="U242" i="4" s="1"/>
  <c r="S243" i="4"/>
  <c r="T243" i="4" s="1"/>
  <c r="U243" i="4" s="1"/>
  <c r="S245" i="4"/>
  <c r="T245" i="4" s="1"/>
  <c r="U245" i="4" s="1"/>
  <c r="S247" i="4"/>
  <c r="T247" i="4" s="1"/>
  <c r="U247" i="4" s="1"/>
  <c r="S248" i="4"/>
  <c r="T248" i="4" s="1"/>
  <c r="U248" i="4" s="1"/>
  <c r="S249" i="4"/>
  <c r="S250" i="4"/>
  <c r="T250" i="4" s="1"/>
  <c r="U250" i="4" s="1"/>
  <c r="S251" i="4"/>
  <c r="T251" i="4" s="1"/>
  <c r="U251" i="4" s="1"/>
  <c r="S252" i="4"/>
  <c r="T252" i="4" s="1"/>
  <c r="U252" i="4" s="1"/>
  <c r="S253" i="4"/>
  <c r="S254" i="4"/>
  <c r="T254" i="4" s="1"/>
  <c r="U254" i="4" s="1"/>
  <c r="S256" i="4"/>
  <c r="T256" i="4" s="1"/>
  <c r="U256" i="4" s="1"/>
  <c r="S257" i="4"/>
  <c r="T257" i="4" s="1"/>
  <c r="U257" i="4" s="1"/>
  <c r="S261" i="4"/>
  <c r="T261" i="4" s="1"/>
  <c r="U261" i="4" s="1"/>
  <c r="S202" i="4"/>
  <c r="T202" i="4" s="1"/>
  <c r="U202" i="4" s="1"/>
  <c r="S203" i="4"/>
  <c r="T203" i="4" s="1"/>
  <c r="U203" i="4" s="1"/>
  <c r="S204" i="4"/>
  <c r="T204" i="4" s="1"/>
  <c r="U204" i="4" s="1"/>
  <c r="S205" i="4"/>
  <c r="S206" i="4"/>
  <c r="T206" i="4" s="1"/>
  <c r="U206" i="4" s="1"/>
  <c r="S207" i="4"/>
  <c r="T207" i="4" s="1"/>
  <c r="U207" i="4" s="1"/>
  <c r="S208" i="4"/>
  <c r="T208" i="4" s="1"/>
  <c r="U208" i="4" s="1"/>
  <c r="S209" i="4"/>
  <c r="S210" i="4"/>
  <c r="T210" i="4" s="1"/>
  <c r="U210" i="4" s="1"/>
  <c r="S211" i="4"/>
  <c r="T211" i="4" s="1"/>
  <c r="U211" i="4" s="1"/>
  <c r="S212" i="4"/>
  <c r="T212" i="4" s="1"/>
  <c r="U212" i="4" s="1"/>
  <c r="S213" i="4"/>
  <c r="S214" i="4"/>
  <c r="T214" i="4" s="1"/>
  <c r="U214" i="4" s="1"/>
  <c r="S215" i="4"/>
  <c r="T215" i="4" s="1"/>
  <c r="U215" i="4" s="1"/>
  <c r="S216" i="4"/>
  <c r="T216" i="4" s="1"/>
  <c r="U216" i="4" s="1"/>
  <c r="S217" i="4"/>
  <c r="S218" i="4"/>
  <c r="T218" i="4" s="1"/>
  <c r="U218" i="4" s="1"/>
  <c r="S219" i="4"/>
  <c r="T219" i="4" s="1"/>
  <c r="U219" i="4" s="1"/>
  <c r="S220" i="4"/>
  <c r="T220" i="4" s="1"/>
  <c r="U220" i="4" s="1"/>
  <c r="S221" i="4"/>
  <c r="S222" i="4"/>
  <c r="T222" i="4" s="1"/>
  <c r="U222" i="4" s="1"/>
  <c r="S223" i="4"/>
  <c r="T223" i="4" s="1"/>
  <c r="U223" i="4" s="1"/>
  <c r="S224" i="4"/>
  <c r="T224" i="4" s="1"/>
  <c r="U224" i="4" s="1"/>
  <c r="S225" i="4"/>
  <c r="S226" i="4"/>
  <c r="T226" i="4" s="1"/>
  <c r="U226" i="4" s="1"/>
  <c r="S227" i="4"/>
  <c r="T227" i="4" s="1"/>
  <c r="U227" i="4" s="1"/>
  <c r="S228" i="4"/>
  <c r="T228" i="4" s="1"/>
  <c r="U228" i="4" s="1"/>
  <c r="S229" i="4"/>
  <c r="S231" i="4"/>
  <c r="T231" i="4" s="1"/>
  <c r="U231" i="4" s="1"/>
  <c r="S232" i="4"/>
  <c r="T232" i="4" s="1"/>
  <c r="U232" i="4" s="1"/>
  <c r="S188" i="4"/>
  <c r="T188" i="4" s="1"/>
  <c r="U188" i="4" s="1"/>
  <c r="S189" i="4"/>
  <c r="T189" i="4" s="1"/>
  <c r="U189" i="4" s="1"/>
  <c r="S190" i="4"/>
  <c r="T190" i="4" s="1"/>
  <c r="U190" i="4" s="1"/>
  <c r="S191" i="4"/>
  <c r="T191" i="4" s="1"/>
  <c r="U191" i="4" s="1"/>
  <c r="S192" i="4"/>
  <c r="T192" i="4" s="1"/>
  <c r="U192" i="4" s="1"/>
  <c r="S193" i="4"/>
  <c r="T193" i="4" s="1"/>
  <c r="U193" i="4" s="1"/>
  <c r="S195" i="4"/>
  <c r="T195" i="4" s="1"/>
  <c r="U195" i="4" s="1"/>
  <c r="S196" i="4"/>
  <c r="T196" i="4" s="1"/>
  <c r="U196" i="4" s="1"/>
  <c r="S197" i="4"/>
  <c r="T197" i="4" s="1"/>
  <c r="U197" i="4" s="1"/>
  <c r="S198" i="4"/>
  <c r="T198" i="4" s="1"/>
  <c r="U198" i="4" s="1"/>
  <c r="S199" i="4"/>
  <c r="T199" i="4" s="1"/>
  <c r="U199" i="4" s="1"/>
  <c r="S200" i="4"/>
  <c r="T200" i="4" s="1"/>
  <c r="U200" i="4" s="1"/>
  <c r="S201" i="4"/>
  <c r="T201" i="4" s="1"/>
  <c r="U201" i="4" s="1"/>
  <c r="S173" i="4"/>
  <c r="S174" i="4"/>
  <c r="T174" i="4" s="1"/>
  <c r="U174" i="4" s="1"/>
  <c r="S175" i="4"/>
  <c r="T175" i="4" s="1"/>
  <c r="U175" i="4" s="1"/>
  <c r="S177" i="4"/>
  <c r="T177" i="4" s="1"/>
  <c r="U177" i="4" s="1"/>
  <c r="S178" i="4"/>
  <c r="S180" i="4"/>
  <c r="T180" i="4" s="1"/>
  <c r="U180" i="4" s="1"/>
  <c r="S181" i="4"/>
  <c r="T181" i="4" s="1"/>
  <c r="U181" i="4" s="1"/>
  <c r="S182" i="4"/>
  <c r="T182" i="4" s="1"/>
  <c r="U182" i="4" s="1"/>
  <c r="S183" i="4"/>
  <c r="S184" i="4"/>
  <c r="T184" i="4" s="1"/>
  <c r="U184" i="4" s="1"/>
  <c r="S185" i="4"/>
  <c r="T185" i="4" s="1"/>
  <c r="U185" i="4" s="1"/>
  <c r="S186" i="4"/>
  <c r="T186" i="4" s="1"/>
  <c r="U186" i="4" s="1"/>
  <c r="S187" i="4"/>
  <c r="T187" i="4" s="1"/>
  <c r="U187" i="4" s="1"/>
  <c r="S159" i="4"/>
  <c r="S160" i="4"/>
  <c r="T160" i="4" s="1"/>
  <c r="U160" i="4" s="1"/>
  <c r="S161" i="4"/>
  <c r="T161" i="4" s="1"/>
  <c r="U161" i="4" s="1"/>
  <c r="S162" i="4"/>
  <c r="T162" i="4" s="1"/>
  <c r="U162" i="4" s="1"/>
  <c r="S163" i="4"/>
  <c r="S164" i="4"/>
  <c r="T164" i="4" s="1"/>
  <c r="U164" i="4" s="1"/>
  <c r="S165" i="4"/>
  <c r="T165" i="4" s="1"/>
  <c r="U165" i="4" s="1"/>
  <c r="S166" i="4"/>
  <c r="T166" i="4" s="1"/>
  <c r="U166" i="4" s="1"/>
  <c r="S168" i="4"/>
  <c r="S169" i="4"/>
  <c r="T169" i="4" s="1"/>
  <c r="U169" i="4" s="1"/>
  <c r="S170" i="4"/>
  <c r="T170" i="4" s="1"/>
  <c r="U170" i="4" s="1"/>
  <c r="S172" i="4"/>
  <c r="T172" i="4" s="1"/>
  <c r="U172" i="4" s="1"/>
  <c r="S140" i="4"/>
  <c r="T140" i="4" s="1"/>
  <c r="U140" i="4" s="1"/>
  <c r="S141" i="4"/>
  <c r="T141" i="4" s="1"/>
  <c r="U141" i="4" s="1"/>
  <c r="S142" i="4"/>
  <c r="T142" i="4" s="1"/>
  <c r="U142" i="4" s="1"/>
  <c r="S143" i="4"/>
  <c r="S144" i="4"/>
  <c r="T144" i="4" s="1"/>
  <c r="U144" i="4" s="1"/>
  <c r="S145" i="4"/>
  <c r="T145" i="4" s="1"/>
  <c r="U145" i="4" s="1"/>
  <c r="S146" i="4"/>
  <c r="T146" i="4" s="1"/>
  <c r="U146" i="4" s="1"/>
  <c r="S147" i="4"/>
  <c r="S148" i="4"/>
  <c r="T148" i="4" s="1"/>
  <c r="U148" i="4" s="1"/>
  <c r="S149" i="4"/>
  <c r="T149" i="4" s="1"/>
  <c r="U149" i="4" s="1"/>
  <c r="S150" i="4"/>
  <c r="T150" i="4" s="1"/>
  <c r="U150" i="4" s="1"/>
  <c r="S151" i="4"/>
  <c r="S152" i="4"/>
  <c r="T152" i="4" s="1"/>
  <c r="U152" i="4" s="1"/>
  <c r="S153" i="4"/>
  <c r="T153" i="4" s="1"/>
  <c r="U153" i="4" s="1"/>
  <c r="S154" i="4"/>
  <c r="T154" i="4" s="1"/>
  <c r="U154" i="4" s="1"/>
  <c r="S155" i="4"/>
  <c r="S157" i="4"/>
  <c r="T157" i="4" s="1"/>
  <c r="U157" i="4" s="1"/>
  <c r="S158" i="4"/>
  <c r="T158" i="4" s="1"/>
  <c r="U158" i="4" s="1"/>
  <c r="S131" i="4"/>
  <c r="T131" i="4" s="1"/>
  <c r="U131" i="4" s="1"/>
  <c r="S132" i="4"/>
  <c r="T132" i="4" s="1"/>
  <c r="U132" i="4" s="1"/>
  <c r="S133" i="4"/>
  <c r="T133" i="4" s="1"/>
  <c r="U133" i="4" s="1"/>
  <c r="S134" i="4"/>
  <c r="S135" i="4"/>
  <c r="T135" i="4" s="1"/>
  <c r="U135" i="4" s="1"/>
  <c r="S137" i="4"/>
  <c r="T137" i="4" s="1"/>
  <c r="U137" i="4" s="1"/>
  <c r="S138" i="4"/>
  <c r="T138" i="4" s="1"/>
  <c r="U138" i="4" s="1"/>
  <c r="S139" i="4"/>
  <c r="S123" i="4"/>
  <c r="T123" i="4" s="1"/>
  <c r="U123" i="4" s="1"/>
  <c r="S125" i="4"/>
  <c r="T125" i="4" s="1"/>
  <c r="U125" i="4" s="1"/>
  <c r="S126" i="4"/>
  <c r="T126" i="4" s="1"/>
  <c r="U126" i="4" s="1"/>
  <c r="V126" i="4" s="1"/>
  <c r="S127" i="4"/>
  <c r="T127" i="4" s="1"/>
  <c r="U127" i="4" s="1"/>
  <c r="S128" i="4"/>
  <c r="T128" i="4" s="1"/>
  <c r="U128" i="4" s="1"/>
  <c r="S129" i="4"/>
  <c r="T129" i="4" s="1"/>
  <c r="U129" i="4" s="1"/>
  <c r="S122" i="4"/>
  <c r="T122" i="4" s="1"/>
  <c r="U122" i="4" s="1"/>
  <c r="S120" i="4"/>
  <c r="T120" i="4" s="1"/>
  <c r="U120" i="4" s="1"/>
  <c r="S119" i="4"/>
  <c r="T119" i="4" s="1"/>
  <c r="U119" i="4" s="1"/>
  <c r="S118" i="4"/>
  <c r="T118" i="4" s="1"/>
  <c r="U118" i="4" s="1"/>
  <c r="S115" i="4"/>
  <c r="T115" i="4" s="1"/>
  <c r="U115" i="4" s="1"/>
  <c r="S110" i="4"/>
  <c r="T110" i="4" s="1"/>
  <c r="U110" i="4" s="1"/>
  <c r="S111" i="4"/>
  <c r="T111" i="4" s="1"/>
  <c r="U111" i="4" s="1"/>
  <c r="S112" i="4"/>
  <c r="T112" i="4" s="1"/>
  <c r="U112" i="4" s="1"/>
  <c r="S113" i="4"/>
  <c r="T113" i="4" s="1"/>
  <c r="U113" i="4" s="1"/>
  <c r="S114" i="4"/>
  <c r="T114" i="4" s="1"/>
  <c r="U114" i="4" s="1"/>
  <c r="S109" i="4"/>
  <c r="T109" i="4" s="1"/>
  <c r="U109" i="4" s="1"/>
  <c r="S107" i="4"/>
  <c r="T107" i="4" s="1"/>
  <c r="U107" i="4" s="1"/>
  <c r="S93" i="4"/>
  <c r="T93" i="4" s="1"/>
  <c r="U93" i="4" s="1"/>
  <c r="S95" i="4"/>
  <c r="S96" i="4"/>
  <c r="T96" i="4" s="1"/>
  <c r="U96" i="4" s="1"/>
  <c r="S98" i="4"/>
  <c r="T98" i="4" s="1"/>
  <c r="U98" i="4" s="1"/>
  <c r="S99" i="4"/>
  <c r="T99" i="4" s="1"/>
  <c r="U99" i="4" s="1"/>
  <c r="S100" i="4"/>
  <c r="S101" i="4"/>
  <c r="T101" i="4" s="1"/>
  <c r="U101" i="4" s="1"/>
  <c r="S102" i="4"/>
  <c r="T102" i="4" s="1"/>
  <c r="U102" i="4" s="1"/>
  <c r="S103" i="4"/>
  <c r="T103" i="4" s="1"/>
  <c r="U103" i="4" s="1"/>
  <c r="S104" i="4"/>
  <c r="S105" i="4"/>
  <c r="T105" i="4" s="1"/>
  <c r="U105" i="4" s="1"/>
  <c r="S106" i="4"/>
  <c r="T106" i="4" s="1"/>
  <c r="U106" i="4" s="1"/>
  <c r="S84" i="4"/>
  <c r="T84" i="4" s="1"/>
  <c r="U84" i="4" s="1"/>
  <c r="S85" i="4"/>
  <c r="S86" i="4"/>
  <c r="T86" i="4" s="1"/>
  <c r="U86" i="4" s="1"/>
  <c r="S88" i="4"/>
  <c r="T88" i="4" s="1"/>
  <c r="U88" i="4" s="1"/>
  <c r="S89" i="4"/>
  <c r="T89" i="4" s="1"/>
  <c r="U89" i="4" s="1"/>
  <c r="S90" i="4"/>
  <c r="S91" i="4"/>
  <c r="T91" i="4" s="1"/>
  <c r="U91" i="4" s="1"/>
  <c r="S92" i="4"/>
  <c r="T92" i="4" s="1"/>
  <c r="U92" i="4" s="1"/>
  <c r="S83" i="4"/>
  <c r="S78" i="4"/>
  <c r="T78" i="4" s="1"/>
  <c r="Q261" i="4"/>
  <c r="R261" i="4" s="1"/>
  <c r="V261" i="4" s="1"/>
  <c r="Q251" i="4"/>
  <c r="R251" i="4" s="1"/>
  <c r="V251" i="4" s="1"/>
  <c r="Q256" i="4"/>
  <c r="R256" i="4" s="1"/>
  <c r="V256" i="4" s="1"/>
  <c r="Q235" i="4"/>
  <c r="R235" i="4" s="1"/>
  <c r="V235" i="4" s="1"/>
  <c r="Q239" i="4"/>
  <c r="R239" i="4" s="1"/>
  <c r="V239" i="4" s="1"/>
  <c r="Q204" i="4"/>
  <c r="R204" i="4" s="1"/>
  <c r="V204" i="4" s="1"/>
  <c r="Q208" i="4"/>
  <c r="R208" i="4" s="1"/>
  <c r="V208" i="4" s="1"/>
  <c r="Q212" i="4"/>
  <c r="R212" i="4" s="1"/>
  <c r="V212" i="4" s="1"/>
  <c r="Q216" i="4"/>
  <c r="R216" i="4" s="1"/>
  <c r="V216" i="4" s="1"/>
  <c r="Q220" i="4"/>
  <c r="R220" i="4" s="1"/>
  <c r="V220" i="4" s="1"/>
  <c r="Q224" i="4"/>
  <c r="R224" i="4" s="1"/>
  <c r="V224" i="4" s="1"/>
  <c r="Q228" i="4"/>
  <c r="R228" i="4" s="1"/>
  <c r="V228" i="4" s="1"/>
  <c r="Q195" i="4"/>
  <c r="R195" i="4" s="1"/>
  <c r="V195" i="4" s="1"/>
  <c r="Q180" i="4"/>
  <c r="R180" i="4" s="1"/>
  <c r="V180" i="4" s="1"/>
  <c r="Q184" i="4"/>
  <c r="R184" i="4" s="1"/>
  <c r="V184" i="4" s="1"/>
  <c r="Q188" i="4"/>
  <c r="R188" i="4" s="1"/>
  <c r="V188" i="4" s="1"/>
  <c r="Q192" i="4"/>
  <c r="R192" i="4" s="1"/>
  <c r="V192" i="4" s="1"/>
  <c r="Q160" i="4"/>
  <c r="R160" i="4" s="1"/>
  <c r="V160" i="4" s="1"/>
  <c r="Q164" i="4"/>
  <c r="R164" i="4" s="1"/>
  <c r="V164" i="4" s="1"/>
  <c r="Q148" i="4"/>
  <c r="R148" i="4" s="1"/>
  <c r="Q152" i="4"/>
  <c r="R152" i="4" s="1"/>
  <c r="V152" i="4" s="1"/>
  <c r="Q157" i="4"/>
  <c r="R157" i="4" s="1"/>
  <c r="V157" i="4" s="1"/>
  <c r="Q139" i="4"/>
  <c r="R139" i="4" s="1"/>
  <c r="V139" i="4" s="1"/>
  <c r="Q143" i="4"/>
  <c r="R143" i="4" s="1"/>
  <c r="V143" i="4" s="1"/>
  <c r="Q123" i="4"/>
  <c r="R123" i="4" s="1"/>
  <c r="V123" i="4" s="1"/>
  <c r="Q119" i="4"/>
  <c r="R119" i="4" s="1"/>
  <c r="V119" i="4" s="1"/>
  <c r="Q111" i="4"/>
  <c r="R111" i="4" s="1"/>
  <c r="V111" i="4" s="1"/>
  <c r="Q109" i="4"/>
  <c r="R109" i="4" s="1"/>
  <c r="V109" i="4" s="1"/>
  <c r="Q106" i="4"/>
  <c r="R106" i="4" s="1"/>
  <c r="V106" i="4" s="1"/>
  <c r="Q101" i="4"/>
  <c r="R101" i="4" s="1"/>
  <c r="V101" i="4" s="1"/>
  <c r="Q85" i="4"/>
  <c r="R85" i="4" s="1"/>
  <c r="V85" i="4" s="1"/>
  <c r="Q90" i="4"/>
  <c r="R90" i="4" s="1"/>
  <c r="V90" i="4" s="1"/>
  <c r="Q95" i="4"/>
  <c r="R95" i="4" s="1"/>
  <c r="V95" i="4" s="1"/>
  <c r="Q14" i="4"/>
  <c r="P261" i="4"/>
  <c r="P240" i="4"/>
  <c r="Q240" i="4" s="1"/>
  <c r="R240" i="4" s="1"/>
  <c r="V240" i="4" s="1"/>
  <c r="P242" i="4"/>
  <c r="Q242" i="4" s="1"/>
  <c r="R242" i="4" s="1"/>
  <c r="V242" i="4" s="1"/>
  <c r="P243" i="4"/>
  <c r="Q243" i="4" s="1"/>
  <c r="R243" i="4" s="1"/>
  <c r="V243" i="4" s="1"/>
  <c r="P245" i="4"/>
  <c r="Q245" i="4" s="1"/>
  <c r="R245" i="4" s="1"/>
  <c r="V245" i="4" s="1"/>
  <c r="P247" i="4"/>
  <c r="Q247" i="4" s="1"/>
  <c r="R247" i="4" s="1"/>
  <c r="V247" i="4" s="1"/>
  <c r="P248" i="4"/>
  <c r="Q248" i="4" s="1"/>
  <c r="R248" i="4" s="1"/>
  <c r="V248" i="4" s="1"/>
  <c r="P249" i="4"/>
  <c r="Q249" i="4" s="1"/>
  <c r="R249" i="4" s="1"/>
  <c r="V249" i="4" s="1"/>
  <c r="P250" i="4"/>
  <c r="Q250" i="4" s="1"/>
  <c r="R250" i="4" s="1"/>
  <c r="V250" i="4" s="1"/>
  <c r="P251" i="4"/>
  <c r="P252" i="4"/>
  <c r="Q252" i="4" s="1"/>
  <c r="R252" i="4" s="1"/>
  <c r="V252" i="4" s="1"/>
  <c r="P253" i="4"/>
  <c r="Q253" i="4" s="1"/>
  <c r="R253" i="4" s="1"/>
  <c r="V253" i="4" s="1"/>
  <c r="P254" i="4"/>
  <c r="Q254" i="4" s="1"/>
  <c r="R254" i="4" s="1"/>
  <c r="V254" i="4" s="1"/>
  <c r="P256" i="4"/>
  <c r="P257" i="4"/>
  <c r="Q257" i="4" s="1"/>
  <c r="R257" i="4" s="1"/>
  <c r="V257" i="4" s="1"/>
  <c r="P259" i="4"/>
  <c r="Q259" i="4" s="1"/>
  <c r="R259" i="4" s="1"/>
  <c r="V259" i="4" s="1"/>
  <c r="P234" i="4"/>
  <c r="Q234" i="4" s="1"/>
  <c r="R234" i="4" s="1"/>
  <c r="V234" i="4" s="1"/>
  <c r="P235" i="4"/>
  <c r="P236" i="4"/>
  <c r="Q236" i="4" s="1"/>
  <c r="R236" i="4" s="1"/>
  <c r="V236" i="4" s="1"/>
  <c r="P237" i="4"/>
  <c r="Q237" i="4" s="1"/>
  <c r="R237" i="4" s="1"/>
  <c r="V237" i="4" s="1"/>
  <c r="P238" i="4"/>
  <c r="Q238" i="4" s="1"/>
  <c r="R238" i="4" s="1"/>
  <c r="V238" i="4" s="1"/>
  <c r="P239" i="4"/>
  <c r="P198" i="4"/>
  <c r="Q198" i="4" s="1"/>
  <c r="R198" i="4" s="1"/>
  <c r="V198" i="4" s="1"/>
  <c r="P199" i="4"/>
  <c r="Q199" i="4" s="1"/>
  <c r="R199" i="4" s="1"/>
  <c r="V199" i="4" s="1"/>
  <c r="P200" i="4"/>
  <c r="Q200" i="4" s="1"/>
  <c r="R200" i="4" s="1"/>
  <c r="V200" i="4" s="1"/>
  <c r="P201" i="4"/>
  <c r="Q201" i="4" s="1"/>
  <c r="R201" i="4" s="1"/>
  <c r="V201" i="4" s="1"/>
  <c r="P202" i="4"/>
  <c r="Q202" i="4" s="1"/>
  <c r="R202" i="4" s="1"/>
  <c r="V202" i="4" s="1"/>
  <c r="P203" i="4"/>
  <c r="Q203" i="4" s="1"/>
  <c r="R203" i="4" s="1"/>
  <c r="V203" i="4" s="1"/>
  <c r="P204" i="4"/>
  <c r="P205" i="4"/>
  <c r="Q205" i="4" s="1"/>
  <c r="R205" i="4" s="1"/>
  <c r="V205" i="4" s="1"/>
  <c r="P206" i="4"/>
  <c r="Q206" i="4" s="1"/>
  <c r="R206" i="4" s="1"/>
  <c r="V206" i="4" s="1"/>
  <c r="P207" i="4"/>
  <c r="Q207" i="4" s="1"/>
  <c r="R207" i="4" s="1"/>
  <c r="V207" i="4" s="1"/>
  <c r="P208" i="4"/>
  <c r="P209" i="4"/>
  <c r="Q209" i="4" s="1"/>
  <c r="R209" i="4" s="1"/>
  <c r="V209" i="4" s="1"/>
  <c r="P210" i="4"/>
  <c r="Q210" i="4" s="1"/>
  <c r="R210" i="4" s="1"/>
  <c r="V210" i="4" s="1"/>
  <c r="P211" i="4"/>
  <c r="Q211" i="4" s="1"/>
  <c r="R211" i="4" s="1"/>
  <c r="V211" i="4" s="1"/>
  <c r="P212" i="4"/>
  <c r="P213" i="4"/>
  <c r="Q213" i="4" s="1"/>
  <c r="R213" i="4" s="1"/>
  <c r="V213" i="4" s="1"/>
  <c r="P214" i="4"/>
  <c r="Q214" i="4" s="1"/>
  <c r="R214" i="4" s="1"/>
  <c r="V214" i="4" s="1"/>
  <c r="P215" i="4"/>
  <c r="Q215" i="4" s="1"/>
  <c r="R215" i="4" s="1"/>
  <c r="V215" i="4" s="1"/>
  <c r="P216" i="4"/>
  <c r="P217" i="4"/>
  <c r="Q217" i="4" s="1"/>
  <c r="R217" i="4" s="1"/>
  <c r="V217" i="4" s="1"/>
  <c r="P218" i="4"/>
  <c r="Q218" i="4" s="1"/>
  <c r="R218" i="4" s="1"/>
  <c r="V218" i="4" s="1"/>
  <c r="P219" i="4"/>
  <c r="Q219" i="4" s="1"/>
  <c r="R219" i="4" s="1"/>
  <c r="V219" i="4" s="1"/>
  <c r="P220" i="4"/>
  <c r="P221" i="4"/>
  <c r="Q221" i="4" s="1"/>
  <c r="R221" i="4" s="1"/>
  <c r="V221" i="4" s="1"/>
  <c r="P222" i="4"/>
  <c r="Q222" i="4" s="1"/>
  <c r="R222" i="4" s="1"/>
  <c r="V222" i="4" s="1"/>
  <c r="P223" i="4"/>
  <c r="Q223" i="4" s="1"/>
  <c r="R223" i="4" s="1"/>
  <c r="V223" i="4" s="1"/>
  <c r="P224" i="4"/>
  <c r="P225" i="4"/>
  <c r="Q225" i="4" s="1"/>
  <c r="R225" i="4" s="1"/>
  <c r="V225" i="4" s="1"/>
  <c r="P226" i="4"/>
  <c r="Q226" i="4" s="1"/>
  <c r="R226" i="4" s="1"/>
  <c r="V226" i="4" s="1"/>
  <c r="P227" i="4"/>
  <c r="Q227" i="4" s="1"/>
  <c r="R227" i="4" s="1"/>
  <c r="V227" i="4" s="1"/>
  <c r="P228" i="4"/>
  <c r="P229" i="4"/>
  <c r="Q229" i="4" s="1"/>
  <c r="R229" i="4" s="1"/>
  <c r="V229" i="4" s="1"/>
  <c r="P231" i="4"/>
  <c r="Q231" i="4" s="1"/>
  <c r="R231" i="4" s="1"/>
  <c r="V231" i="4" s="1"/>
  <c r="P232" i="4"/>
  <c r="Q232" i="4" s="1"/>
  <c r="R232" i="4" s="1"/>
  <c r="V232" i="4" s="1"/>
  <c r="P182" i="4"/>
  <c r="Q182" i="4" s="1"/>
  <c r="R182" i="4" s="1"/>
  <c r="V182" i="4" s="1"/>
  <c r="P183" i="4"/>
  <c r="Q183" i="4" s="1"/>
  <c r="R183" i="4" s="1"/>
  <c r="V183" i="4" s="1"/>
  <c r="P184" i="4"/>
  <c r="P185" i="4"/>
  <c r="Q185" i="4" s="1"/>
  <c r="R185" i="4" s="1"/>
  <c r="V185" i="4" s="1"/>
  <c r="P186" i="4"/>
  <c r="Q186" i="4" s="1"/>
  <c r="R186" i="4" s="1"/>
  <c r="V186" i="4" s="1"/>
  <c r="P187" i="4"/>
  <c r="Q187" i="4" s="1"/>
  <c r="R187" i="4" s="1"/>
  <c r="V187" i="4" s="1"/>
  <c r="P188" i="4"/>
  <c r="P189" i="4"/>
  <c r="Q189" i="4" s="1"/>
  <c r="R189" i="4" s="1"/>
  <c r="V189" i="4" s="1"/>
  <c r="P190" i="4"/>
  <c r="Q190" i="4" s="1"/>
  <c r="R190" i="4" s="1"/>
  <c r="V190" i="4" s="1"/>
  <c r="P191" i="4"/>
  <c r="Q191" i="4" s="1"/>
  <c r="R191" i="4" s="1"/>
  <c r="V191" i="4" s="1"/>
  <c r="P192" i="4"/>
  <c r="P193" i="4"/>
  <c r="Q193" i="4" s="1"/>
  <c r="R193" i="4" s="1"/>
  <c r="V193" i="4" s="1"/>
  <c r="P195" i="4"/>
  <c r="P196" i="4"/>
  <c r="Q196" i="4" s="1"/>
  <c r="R196" i="4" s="1"/>
  <c r="V196" i="4" s="1"/>
  <c r="P197" i="4"/>
  <c r="Q197" i="4" s="1"/>
  <c r="R197" i="4" s="1"/>
  <c r="V197" i="4" s="1"/>
  <c r="P177" i="4"/>
  <c r="Q177" i="4" s="1"/>
  <c r="R177" i="4" s="1"/>
  <c r="V177" i="4" s="1"/>
  <c r="P178" i="4"/>
  <c r="Q178" i="4" s="1"/>
  <c r="R178" i="4" s="1"/>
  <c r="V178" i="4" s="1"/>
  <c r="P180" i="4"/>
  <c r="P181" i="4"/>
  <c r="Q181" i="4" s="1"/>
  <c r="R181" i="4" s="1"/>
  <c r="V181" i="4" s="1"/>
  <c r="P169" i="4"/>
  <c r="Q169" i="4" s="1"/>
  <c r="R169" i="4" s="1"/>
  <c r="V169" i="4" s="1"/>
  <c r="P170" i="4"/>
  <c r="Q170" i="4" s="1"/>
  <c r="R170" i="4" s="1"/>
  <c r="V170" i="4" s="1"/>
  <c r="P172" i="4"/>
  <c r="Q172" i="4" s="1"/>
  <c r="R172" i="4" s="1"/>
  <c r="V172" i="4" s="1"/>
  <c r="P173" i="4"/>
  <c r="Q173" i="4" s="1"/>
  <c r="R173" i="4" s="1"/>
  <c r="V173" i="4" s="1"/>
  <c r="P174" i="4"/>
  <c r="Q174" i="4" s="1"/>
  <c r="R174" i="4" s="1"/>
  <c r="V174" i="4" s="1"/>
  <c r="P175" i="4"/>
  <c r="Q175" i="4" s="1"/>
  <c r="R175" i="4" s="1"/>
  <c r="V175" i="4" s="1"/>
  <c r="P159" i="4"/>
  <c r="Q159" i="4" s="1"/>
  <c r="R159" i="4" s="1"/>
  <c r="V159" i="4" s="1"/>
  <c r="P160" i="4"/>
  <c r="P161" i="4"/>
  <c r="Q161" i="4" s="1"/>
  <c r="R161" i="4" s="1"/>
  <c r="V161" i="4" s="1"/>
  <c r="P162" i="4"/>
  <c r="Q162" i="4" s="1"/>
  <c r="R162" i="4" s="1"/>
  <c r="V162" i="4" s="1"/>
  <c r="P163" i="4"/>
  <c r="Q163" i="4" s="1"/>
  <c r="R163" i="4" s="1"/>
  <c r="V163" i="4" s="1"/>
  <c r="P164" i="4"/>
  <c r="P165" i="4"/>
  <c r="Q165" i="4" s="1"/>
  <c r="R165" i="4" s="1"/>
  <c r="V165" i="4" s="1"/>
  <c r="P166" i="4"/>
  <c r="Q166" i="4" s="1"/>
  <c r="R166" i="4" s="1"/>
  <c r="V166" i="4" s="1"/>
  <c r="P168" i="4"/>
  <c r="Q168" i="4" s="1"/>
  <c r="R168" i="4" s="1"/>
  <c r="V168" i="4" s="1"/>
  <c r="P141" i="4"/>
  <c r="Q141" i="4" s="1"/>
  <c r="R141" i="4" s="1"/>
  <c r="V141" i="4" s="1"/>
  <c r="P142" i="4"/>
  <c r="Q142" i="4" s="1"/>
  <c r="R142" i="4" s="1"/>
  <c r="V142" i="4" s="1"/>
  <c r="P143" i="4"/>
  <c r="P144" i="4"/>
  <c r="Q144" i="4" s="1"/>
  <c r="R144" i="4" s="1"/>
  <c r="V144" i="4" s="1"/>
  <c r="P145" i="4"/>
  <c r="Q145" i="4" s="1"/>
  <c r="R145" i="4" s="1"/>
  <c r="V145" i="4" s="1"/>
  <c r="P146" i="4"/>
  <c r="Q146" i="4" s="1"/>
  <c r="R146" i="4" s="1"/>
  <c r="V146" i="4" s="1"/>
  <c r="P147" i="4"/>
  <c r="Q147" i="4" s="1"/>
  <c r="R147" i="4" s="1"/>
  <c r="V147" i="4" s="1"/>
  <c r="P148" i="4"/>
  <c r="P149" i="4"/>
  <c r="Q149" i="4" s="1"/>
  <c r="R149" i="4" s="1"/>
  <c r="V149" i="4" s="1"/>
  <c r="P150" i="4"/>
  <c r="Q150" i="4" s="1"/>
  <c r="R150" i="4" s="1"/>
  <c r="V150" i="4" s="1"/>
  <c r="P151" i="4"/>
  <c r="Q151" i="4" s="1"/>
  <c r="R151" i="4" s="1"/>
  <c r="V151" i="4" s="1"/>
  <c r="P152" i="4"/>
  <c r="P153" i="4"/>
  <c r="Q153" i="4" s="1"/>
  <c r="R153" i="4" s="1"/>
  <c r="V153" i="4" s="1"/>
  <c r="P154" i="4"/>
  <c r="Q154" i="4" s="1"/>
  <c r="R154" i="4" s="1"/>
  <c r="V154" i="4" s="1"/>
  <c r="P155" i="4"/>
  <c r="Q155" i="4" s="1"/>
  <c r="R155" i="4" s="1"/>
  <c r="V155" i="4" s="1"/>
  <c r="P157" i="4"/>
  <c r="P158" i="4"/>
  <c r="Q158" i="4" s="1"/>
  <c r="R158" i="4" s="1"/>
  <c r="V158" i="4" s="1"/>
  <c r="P132" i="4"/>
  <c r="Q132" i="4" s="1"/>
  <c r="R132" i="4" s="1"/>
  <c r="V132" i="4" s="1"/>
  <c r="P133" i="4"/>
  <c r="Q133" i="4" s="1"/>
  <c r="R133" i="4" s="1"/>
  <c r="V133" i="4" s="1"/>
  <c r="P134" i="4"/>
  <c r="Q134" i="4" s="1"/>
  <c r="R134" i="4" s="1"/>
  <c r="V134" i="4" s="1"/>
  <c r="P135" i="4"/>
  <c r="Q135" i="4" s="1"/>
  <c r="R135" i="4" s="1"/>
  <c r="V135" i="4" s="1"/>
  <c r="P137" i="4"/>
  <c r="Q137" i="4" s="1"/>
  <c r="R137" i="4" s="1"/>
  <c r="V137" i="4" s="1"/>
  <c r="P138" i="4"/>
  <c r="Q138" i="4" s="1"/>
  <c r="R138" i="4" s="1"/>
  <c r="V138" i="4" s="1"/>
  <c r="P139" i="4"/>
  <c r="P140" i="4"/>
  <c r="Q140" i="4" s="1"/>
  <c r="R140" i="4" s="1"/>
  <c r="P131" i="4"/>
  <c r="Q131" i="4" s="1"/>
  <c r="R131" i="4" s="1"/>
  <c r="V131" i="4" s="1"/>
  <c r="P125" i="4"/>
  <c r="Q125" i="4" s="1"/>
  <c r="R125" i="4" s="1"/>
  <c r="V125" i="4" s="1"/>
  <c r="P126" i="4"/>
  <c r="Q126" i="4" s="1"/>
  <c r="P127" i="4"/>
  <c r="Q127" i="4" s="1"/>
  <c r="R127" i="4" s="1"/>
  <c r="V127" i="4" s="1"/>
  <c r="P128" i="4"/>
  <c r="Q128" i="4" s="1"/>
  <c r="R128" i="4" s="1"/>
  <c r="V128" i="4" s="1"/>
  <c r="P129" i="4"/>
  <c r="Q129" i="4" s="1"/>
  <c r="R129" i="4" s="1"/>
  <c r="V129" i="4" s="1"/>
  <c r="P123" i="4"/>
  <c r="P122" i="4"/>
  <c r="Q122" i="4" s="1"/>
  <c r="R122" i="4" s="1"/>
  <c r="V122" i="4" s="1"/>
  <c r="P120" i="4"/>
  <c r="Q120" i="4" s="1"/>
  <c r="R120" i="4" s="1"/>
  <c r="V120" i="4" s="1"/>
  <c r="P119" i="4"/>
  <c r="P118" i="4"/>
  <c r="Q118" i="4" s="1"/>
  <c r="R118" i="4" s="1"/>
  <c r="V118" i="4" s="1"/>
  <c r="P115" i="4"/>
  <c r="Q115" i="4" s="1"/>
  <c r="R115" i="4" s="1"/>
  <c r="V115" i="4" s="1"/>
  <c r="P110" i="4"/>
  <c r="Q110" i="4" s="1"/>
  <c r="R110" i="4" s="1"/>
  <c r="V110" i="4" s="1"/>
  <c r="P111" i="4"/>
  <c r="P112" i="4"/>
  <c r="Q112" i="4" s="1"/>
  <c r="R112" i="4" s="1"/>
  <c r="V112" i="4" s="1"/>
  <c r="P113" i="4"/>
  <c r="Q113" i="4" s="1"/>
  <c r="R113" i="4" s="1"/>
  <c r="V113" i="4" s="1"/>
  <c r="P114" i="4"/>
  <c r="Q114" i="4" s="1"/>
  <c r="R114" i="4" s="1"/>
  <c r="V114" i="4" s="1"/>
  <c r="P109" i="4"/>
  <c r="P107" i="4"/>
  <c r="Q107" i="4" s="1"/>
  <c r="R107" i="4" s="1"/>
  <c r="V107" i="4" s="1"/>
  <c r="P99" i="4"/>
  <c r="Q99" i="4" s="1"/>
  <c r="R99" i="4" s="1"/>
  <c r="V99" i="4" s="1"/>
  <c r="P100" i="4"/>
  <c r="Q100" i="4" s="1"/>
  <c r="R100" i="4" s="1"/>
  <c r="V100" i="4" s="1"/>
  <c r="P101" i="4"/>
  <c r="P102" i="4"/>
  <c r="Q102" i="4" s="1"/>
  <c r="R102" i="4" s="1"/>
  <c r="V102" i="4" s="1"/>
  <c r="P103" i="4"/>
  <c r="Q103" i="4" s="1"/>
  <c r="R103" i="4" s="1"/>
  <c r="V103" i="4" s="1"/>
  <c r="P104" i="4"/>
  <c r="Q104" i="4" s="1"/>
  <c r="R104" i="4" s="1"/>
  <c r="V104" i="4" s="1"/>
  <c r="P105" i="4"/>
  <c r="Q105" i="4" s="1"/>
  <c r="R105" i="4" s="1"/>
  <c r="V105" i="4" s="1"/>
  <c r="P106" i="4"/>
  <c r="P98" i="4"/>
  <c r="Q98" i="4" s="1"/>
  <c r="R98" i="4" s="1"/>
  <c r="V98" i="4" s="1"/>
  <c r="P96" i="4"/>
  <c r="Q96" i="4" s="1"/>
  <c r="R96" i="4" s="1"/>
  <c r="V96" i="4" s="1"/>
  <c r="P95" i="4"/>
  <c r="P89" i="4"/>
  <c r="Q89" i="4" s="1"/>
  <c r="R89" i="4" s="1"/>
  <c r="V89" i="4" s="1"/>
  <c r="P90" i="4"/>
  <c r="P91" i="4"/>
  <c r="Q91" i="4" s="1"/>
  <c r="R91" i="4" s="1"/>
  <c r="V91" i="4" s="1"/>
  <c r="P92" i="4"/>
  <c r="Q92" i="4" s="1"/>
  <c r="R92" i="4" s="1"/>
  <c r="V92" i="4" s="1"/>
  <c r="P93" i="4"/>
  <c r="Q93" i="4" s="1"/>
  <c r="R93" i="4" s="1"/>
  <c r="V93" i="4" s="1"/>
  <c r="P88" i="4"/>
  <c r="Q88" i="4" s="1"/>
  <c r="R88" i="4" s="1"/>
  <c r="V88" i="4" s="1"/>
  <c r="P84" i="4"/>
  <c r="Q84" i="4" s="1"/>
  <c r="R84" i="4" s="1"/>
  <c r="V84" i="4" s="1"/>
  <c r="P85" i="4"/>
  <c r="P86" i="4"/>
  <c r="Q86" i="4" s="1"/>
  <c r="R86" i="4" s="1"/>
  <c r="V86" i="4" s="1"/>
  <c r="P78" i="4"/>
  <c r="Q78" i="4" s="1"/>
  <c r="R78" i="4" s="1"/>
  <c r="P83" i="4"/>
  <c r="P14" i="4"/>
  <c r="O83" i="4"/>
  <c r="O261" i="4"/>
  <c r="M261" i="4"/>
  <c r="K261" i="4"/>
  <c r="O259" i="4"/>
  <c r="O257" i="4"/>
  <c r="O256" i="4"/>
  <c r="O254" i="4"/>
  <c r="O253" i="4"/>
  <c r="O252" i="4"/>
  <c r="O251" i="4"/>
  <c r="O250" i="4"/>
  <c r="O249" i="4"/>
  <c r="O248" i="4"/>
  <c r="O247" i="4"/>
  <c r="O245" i="4"/>
  <c r="O243" i="4"/>
  <c r="O242" i="4"/>
  <c r="O240" i="4"/>
  <c r="O239" i="4"/>
  <c r="O238" i="4"/>
  <c r="O237" i="4"/>
  <c r="O236" i="4"/>
  <c r="O235" i="4"/>
  <c r="O234" i="4"/>
  <c r="O232" i="4"/>
  <c r="O231" i="4"/>
  <c r="O229" i="4"/>
  <c r="M229" i="4"/>
  <c r="K229" i="4"/>
  <c r="O228" i="4"/>
  <c r="O227" i="4"/>
  <c r="O226" i="4"/>
  <c r="O225" i="4"/>
  <c r="O224" i="4"/>
  <c r="O223" i="4"/>
  <c r="O222" i="4"/>
  <c r="O221" i="4"/>
  <c r="O220" i="4"/>
  <c r="O219" i="4"/>
  <c r="O218" i="4"/>
  <c r="O217" i="4"/>
  <c r="O216" i="4"/>
  <c r="O215" i="4"/>
  <c r="O214" i="4"/>
  <c r="O213" i="4"/>
  <c r="O212" i="4"/>
  <c r="O211" i="4"/>
  <c r="O210" i="4"/>
  <c r="O209" i="4"/>
  <c r="O208" i="4"/>
  <c r="O207" i="4"/>
  <c r="O206" i="4"/>
  <c r="O205" i="4"/>
  <c r="O204" i="4"/>
  <c r="O203" i="4"/>
  <c r="O202" i="4"/>
  <c r="O201" i="4"/>
  <c r="O200" i="4"/>
  <c r="O199" i="4"/>
  <c r="O198" i="4"/>
  <c r="O197" i="4"/>
  <c r="O196" i="4"/>
  <c r="O195" i="4"/>
  <c r="O193" i="4"/>
  <c r="O192" i="4"/>
  <c r="O191" i="4"/>
  <c r="O190" i="4"/>
  <c r="O189" i="4"/>
  <c r="O188" i="4"/>
  <c r="O187" i="4"/>
  <c r="O186" i="4"/>
  <c r="O185" i="4"/>
  <c r="O184" i="4"/>
  <c r="O183" i="4"/>
  <c r="O182" i="4"/>
  <c r="O181" i="4"/>
  <c r="O180" i="4"/>
  <c r="O178" i="4"/>
  <c r="O177" i="4"/>
  <c r="O175" i="4"/>
  <c r="O174" i="4"/>
  <c r="O173" i="4"/>
  <c r="O172" i="4"/>
  <c r="O170" i="4"/>
  <c r="O169" i="4"/>
  <c r="O168" i="4"/>
  <c r="O166" i="4"/>
  <c r="M166" i="4"/>
  <c r="K166" i="4"/>
  <c r="O165" i="4"/>
  <c r="O164" i="4"/>
  <c r="O163" i="4"/>
  <c r="O162" i="4"/>
  <c r="O161" i="4"/>
  <c r="O160" i="4"/>
  <c r="O159" i="4"/>
  <c r="O158" i="4"/>
  <c r="O157" i="4"/>
  <c r="O155" i="4"/>
  <c r="O154" i="4"/>
  <c r="O153" i="4"/>
  <c r="O152" i="4"/>
  <c r="O151" i="4"/>
  <c r="O150" i="4"/>
  <c r="O149" i="4"/>
  <c r="O148" i="4"/>
  <c r="O147" i="4"/>
  <c r="O146" i="4"/>
  <c r="O145" i="4"/>
  <c r="O144" i="4"/>
  <c r="O143" i="4"/>
  <c r="O142" i="4"/>
  <c r="O141" i="4"/>
  <c r="O140" i="4"/>
  <c r="O139" i="4"/>
  <c r="O138" i="4"/>
  <c r="O137" i="4"/>
  <c r="O135" i="4"/>
  <c r="O134" i="4"/>
  <c r="O133" i="4"/>
  <c r="O132" i="4"/>
  <c r="O131" i="4"/>
  <c r="O129" i="4"/>
  <c r="O128" i="4"/>
  <c r="O127" i="4"/>
  <c r="O126" i="4"/>
  <c r="O125" i="4"/>
  <c r="O123" i="4"/>
  <c r="O122" i="4"/>
  <c r="M122" i="4"/>
  <c r="K122" i="4"/>
  <c r="O120" i="4"/>
  <c r="O119" i="4"/>
  <c r="M119" i="4"/>
  <c r="K119" i="4"/>
  <c r="O118" i="4"/>
  <c r="O115" i="4"/>
  <c r="O114" i="4"/>
  <c r="O113" i="4"/>
  <c r="O112" i="4"/>
  <c r="O111" i="4"/>
  <c r="O110" i="4"/>
  <c r="O109" i="4"/>
  <c r="O107" i="4"/>
  <c r="O106" i="4"/>
  <c r="O105" i="4"/>
  <c r="O104" i="4"/>
  <c r="O103" i="4"/>
  <c r="O102" i="4"/>
  <c r="O101" i="4"/>
  <c r="O100" i="4"/>
  <c r="O99" i="4"/>
  <c r="O98" i="4"/>
  <c r="O96" i="4"/>
  <c r="O95" i="4"/>
  <c r="O93" i="4"/>
  <c r="O92" i="4"/>
  <c r="O91" i="4"/>
  <c r="O90" i="4"/>
  <c r="O89" i="4"/>
  <c r="O88" i="4"/>
  <c r="O86" i="4"/>
  <c r="O85" i="4"/>
  <c r="O84" i="4"/>
  <c r="J122" i="4"/>
  <c r="H122" i="4"/>
  <c r="H119" i="4"/>
  <c r="F259" i="4"/>
  <c r="F257" i="4"/>
  <c r="F256" i="4"/>
  <c r="J256" i="4" s="1"/>
  <c r="F254" i="4"/>
  <c r="F253" i="4"/>
  <c r="H253" i="4" s="1"/>
  <c r="F252" i="4"/>
  <c r="F251" i="4"/>
  <c r="F250" i="4"/>
  <c r="F249" i="4"/>
  <c r="F248" i="4"/>
  <c r="F247" i="4"/>
  <c r="F246" i="4"/>
  <c r="F245" i="4"/>
  <c r="H245" i="4" s="1"/>
  <c r="F243" i="4"/>
  <c r="F242" i="4"/>
  <c r="F240" i="4"/>
  <c r="F239" i="4"/>
  <c r="F238" i="4"/>
  <c r="F237" i="4"/>
  <c r="F236" i="4"/>
  <c r="H236" i="4" s="1"/>
  <c r="F235" i="4"/>
  <c r="F234" i="4"/>
  <c r="F232" i="4"/>
  <c r="H232" i="4" s="1"/>
  <c r="F231" i="4"/>
  <c r="J231" i="4" s="1"/>
  <c r="F228" i="4"/>
  <c r="F227" i="4"/>
  <c r="F226" i="4"/>
  <c r="F225" i="4"/>
  <c r="F224" i="4"/>
  <c r="F223" i="4"/>
  <c r="F222" i="4"/>
  <c r="F221" i="4"/>
  <c r="F220" i="4"/>
  <c r="H220" i="4" s="1"/>
  <c r="F219" i="4"/>
  <c r="F218" i="4"/>
  <c r="F217" i="4"/>
  <c r="F216" i="4"/>
  <c r="F215" i="4"/>
  <c r="F214" i="4"/>
  <c r="F213" i="4"/>
  <c r="F212" i="4"/>
  <c r="M212" i="4" s="1"/>
  <c r="F211" i="4"/>
  <c r="F210" i="4"/>
  <c r="F209" i="4"/>
  <c r="M209" i="4" s="1"/>
  <c r="F208" i="4"/>
  <c r="M208" i="4" s="1"/>
  <c r="F207" i="4"/>
  <c r="F206" i="4"/>
  <c r="F205" i="4"/>
  <c r="F204" i="4"/>
  <c r="M204" i="4" s="1"/>
  <c r="F203" i="4"/>
  <c r="F202" i="4"/>
  <c r="F201" i="4"/>
  <c r="M201" i="4" s="1"/>
  <c r="F200" i="4"/>
  <c r="M200" i="4" s="1"/>
  <c r="F199" i="4"/>
  <c r="F198" i="4"/>
  <c r="H198" i="4" s="1"/>
  <c r="F197" i="4"/>
  <c r="K197" i="4" s="1"/>
  <c r="F196" i="4"/>
  <c r="M196" i="4" s="1"/>
  <c r="F195" i="4"/>
  <c r="F193" i="4"/>
  <c r="H193" i="4" s="1"/>
  <c r="F192" i="4"/>
  <c r="K192" i="4" s="1"/>
  <c r="F191" i="4"/>
  <c r="M191" i="4" s="1"/>
  <c r="F190" i="4"/>
  <c r="F189" i="4"/>
  <c r="H189" i="4" s="1"/>
  <c r="F188" i="4"/>
  <c r="K188" i="4" s="1"/>
  <c r="F187" i="4"/>
  <c r="M187" i="4" s="1"/>
  <c r="F186" i="4"/>
  <c r="F185" i="4"/>
  <c r="H185" i="4" s="1"/>
  <c r="F184" i="4"/>
  <c r="K184" i="4" s="1"/>
  <c r="F183" i="4"/>
  <c r="M183" i="4" s="1"/>
  <c r="F182" i="4"/>
  <c r="F181" i="4"/>
  <c r="H181" i="4" s="1"/>
  <c r="F180" i="4"/>
  <c r="K180" i="4" s="1"/>
  <c r="F178" i="4"/>
  <c r="M178" i="4" s="1"/>
  <c r="F177" i="4"/>
  <c r="F175" i="4"/>
  <c r="F174" i="4"/>
  <c r="K174" i="4" s="1"/>
  <c r="F173" i="4"/>
  <c r="M173" i="4" s="1"/>
  <c r="F172" i="4"/>
  <c r="F170" i="4"/>
  <c r="J170" i="4" s="1"/>
  <c r="F169" i="4"/>
  <c r="K169" i="4" s="1"/>
  <c r="F168" i="4"/>
  <c r="K168" i="4" s="1"/>
  <c r="F165" i="4"/>
  <c r="H165" i="4" s="1"/>
  <c r="F164" i="4"/>
  <c r="K164" i="4" s="1"/>
  <c r="F163" i="4"/>
  <c r="H163" i="4" s="1"/>
  <c r="F162" i="4"/>
  <c r="F161" i="4"/>
  <c r="F160" i="4"/>
  <c r="K160" i="4" s="1"/>
  <c r="F159" i="4"/>
  <c r="M159" i="4" s="1"/>
  <c r="F158" i="4"/>
  <c r="F157" i="4"/>
  <c r="K157" i="4" s="1"/>
  <c r="F155" i="4"/>
  <c r="M155" i="4" s="1"/>
  <c r="F154" i="4"/>
  <c r="H154" i="4" s="1"/>
  <c r="F153" i="4"/>
  <c r="F152" i="4"/>
  <c r="K152" i="4" s="1"/>
  <c r="F151" i="4"/>
  <c r="M151" i="4" s="1"/>
  <c r="F150" i="4"/>
  <c r="J150" i="4" s="1"/>
  <c r="F149" i="4"/>
  <c r="F148" i="4"/>
  <c r="K148" i="4" s="1"/>
  <c r="F147" i="4"/>
  <c r="H147" i="4" s="1"/>
  <c r="F146" i="4"/>
  <c r="J146" i="4" s="1"/>
  <c r="F145" i="4"/>
  <c r="K145" i="4" s="1"/>
  <c r="F144" i="4"/>
  <c r="M144" i="4" s="1"/>
  <c r="F143" i="4"/>
  <c r="H143" i="4" s="1"/>
  <c r="F142" i="4"/>
  <c r="H142" i="4" s="1"/>
  <c r="F141" i="4"/>
  <c r="K141" i="4" s="1"/>
  <c r="F140" i="4"/>
  <c r="M140" i="4" s="1"/>
  <c r="F139" i="4"/>
  <c r="H139" i="4" s="1"/>
  <c r="F138" i="4"/>
  <c r="F135" i="4"/>
  <c r="M135" i="4" s="1"/>
  <c r="F134" i="4"/>
  <c r="H134" i="4" s="1"/>
  <c r="F133" i="4"/>
  <c r="J133" i="4" s="1"/>
  <c r="F132" i="4"/>
  <c r="K132" i="4" s="1"/>
  <c r="F131" i="4"/>
  <c r="M131" i="4" s="1"/>
  <c r="F129" i="4"/>
  <c r="M129" i="4" s="1"/>
  <c r="F128" i="4"/>
  <c r="H128" i="4" s="1"/>
  <c r="F127" i="4"/>
  <c r="K127" i="4" s="1"/>
  <c r="F126" i="4"/>
  <c r="M126" i="4" s="1"/>
  <c r="F125" i="4"/>
  <c r="M125" i="4" s="1"/>
  <c r="F123" i="4"/>
  <c r="F121" i="4"/>
  <c r="J121" i="4" s="1"/>
  <c r="F120" i="4"/>
  <c r="M120" i="4" s="1"/>
  <c r="F118" i="4"/>
  <c r="J118" i="4" s="1"/>
  <c r="F117" i="4"/>
  <c r="H117" i="4" s="1"/>
  <c r="F116" i="4"/>
  <c r="H116" i="4" s="1"/>
  <c r="F115" i="4"/>
  <c r="F114" i="4"/>
  <c r="M114" i="4" s="1"/>
  <c r="F113" i="4"/>
  <c r="M113" i="4" s="1"/>
  <c r="F112" i="4"/>
  <c r="H112" i="4" s="1"/>
  <c r="F111" i="4"/>
  <c r="K111" i="4" s="1"/>
  <c r="F110" i="4"/>
  <c r="M110" i="4" s="1"/>
  <c r="F109" i="4"/>
  <c r="M109" i="4" s="1"/>
  <c r="F108" i="4"/>
  <c r="J108" i="4" s="1"/>
  <c r="F107" i="4"/>
  <c r="F106" i="4"/>
  <c r="K106" i="4" s="1"/>
  <c r="F105" i="4"/>
  <c r="J105" i="4" s="1"/>
  <c r="F104" i="4"/>
  <c r="M104" i="4" s="1"/>
  <c r="F103" i="4"/>
  <c r="F102" i="4"/>
  <c r="K102" i="4" s="1"/>
  <c r="F101" i="4"/>
  <c r="H101" i="4" s="1"/>
  <c r="F100" i="4"/>
  <c r="M100" i="4" s="1"/>
  <c r="F99" i="4"/>
  <c r="F98" i="4"/>
  <c r="K98" i="4" s="1"/>
  <c r="F96" i="4"/>
  <c r="M96" i="4" s="1"/>
  <c r="F95" i="4"/>
  <c r="K95" i="4" s="1"/>
  <c r="F93" i="4"/>
  <c r="K93" i="4" s="1"/>
  <c r="F92" i="4"/>
  <c r="M92" i="4" s="1"/>
  <c r="F91" i="4"/>
  <c r="M91" i="4" s="1"/>
  <c r="F90" i="4"/>
  <c r="F89" i="4"/>
  <c r="K89" i="4" s="1"/>
  <c r="F88" i="4"/>
  <c r="M88" i="4" s="1"/>
  <c r="F86" i="4"/>
  <c r="M86" i="4" s="1"/>
  <c r="F85" i="4"/>
  <c r="F84" i="4"/>
  <c r="K84" i="4" s="1"/>
  <c r="F83" i="4"/>
  <c r="H83" i="4" s="1"/>
  <c r="D137" i="4"/>
  <c r="F137" i="4" s="1"/>
  <c r="L79" i="4"/>
  <c r="D79" i="4"/>
  <c r="O40" i="4"/>
  <c r="O18" i="4"/>
  <c r="K137" i="4" l="1"/>
  <c r="M137" i="4"/>
  <c r="H137" i="4"/>
  <c r="K99" i="4"/>
  <c r="M99" i="4"/>
  <c r="K103" i="4"/>
  <c r="M103" i="4"/>
  <c r="K107" i="4"/>
  <c r="M107" i="4"/>
  <c r="K115" i="4"/>
  <c r="K161" i="4"/>
  <c r="M161" i="4"/>
  <c r="M172" i="4"/>
  <c r="K172" i="4"/>
  <c r="M177" i="4"/>
  <c r="K177" i="4"/>
  <c r="M182" i="4"/>
  <c r="K182" i="4"/>
  <c r="M186" i="4"/>
  <c r="K186" i="4"/>
  <c r="M190" i="4"/>
  <c r="K190" i="4"/>
  <c r="M195" i="4"/>
  <c r="K195" i="4"/>
  <c r="M199" i="4"/>
  <c r="K199" i="4"/>
  <c r="M203" i="4"/>
  <c r="K203" i="4"/>
  <c r="M207" i="4"/>
  <c r="K207" i="4"/>
  <c r="M211" i="4"/>
  <c r="K211" i="4"/>
  <c r="M215" i="4"/>
  <c r="K215" i="4"/>
  <c r="M219" i="4"/>
  <c r="K219" i="4"/>
  <c r="M223" i="4"/>
  <c r="K223" i="4"/>
  <c r="M227" i="4"/>
  <c r="K227" i="4"/>
  <c r="M234" i="4"/>
  <c r="K234" i="4"/>
  <c r="H234" i="4"/>
  <c r="M238" i="4"/>
  <c r="K238" i="4"/>
  <c r="H238" i="4"/>
  <c r="M243" i="4"/>
  <c r="K243" i="4"/>
  <c r="M248" i="4"/>
  <c r="K248" i="4"/>
  <c r="M252" i="4"/>
  <c r="K252" i="4"/>
  <c r="M257" i="4"/>
  <c r="K257" i="4"/>
  <c r="H257" i="4"/>
  <c r="H84" i="4"/>
  <c r="H86" i="4"/>
  <c r="H89" i="4"/>
  <c r="H91" i="4"/>
  <c r="H93" i="4"/>
  <c r="H96" i="4"/>
  <c r="H99" i="4"/>
  <c r="J101" i="4"/>
  <c r="H104" i="4"/>
  <c r="H106" i="4"/>
  <c r="H108" i="4"/>
  <c r="H110" i="4"/>
  <c r="H114" i="4"/>
  <c r="H120" i="4"/>
  <c r="H125" i="4"/>
  <c r="H127" i="4"/>
  <c r="H131" i="4"/>
  <c r="H133" i="4"/>
  <c r="H135" i="4"/>
  <c r="J141" i="4"/>
  <c r="H144" i="4"/>
  <c r="H146" i="4"/>
  <c r="H148" i="4"/>
  <c r="H150" i="4"/>
  <c r="H152" i="4"/>
  <c r="J157" i="4"/>
  <c r="J159" i="4"/>
  <c r="J161" i="4"/>
  <c r="J163" i="4"/>
  <c r="J165" i="4"/>
  <c r="J169" i="4"/>
  <c r="J172" i="4"/>
  <c r="H177" i="4"/>
  <c r="H180" i="4"/>
  <c r="H182" i="4"/>
  <c r="H184" i="4"/>
  <c r="H186" i="4"/>
  <c r="H188" i="4"/>
  <c r="H190" i="4"/>
  <c r="H192" i="4"/>
  <c r="H195" i="4"/>
  <c r="H204" i="4"/>
  <c r="H212" i="4"/>
  <c r="J227" i="4"/>
  <c r="K83" i="4"/>
  <c r="K86" i="4"/>
  <c r="K91" i="4"/>
  <c r="K96" i="4"/>
  <c r="K101" i="4"/>
  <c r="K105" i="4"/>
  <c r="K110" i="4"/>
  <c r="K114" i="4"/>
  <c r="K125" i="4"/>
  <c r="K129" i="4"/>
  <c r="M132" i="4"/>
  <c r="K135" i="4"/>
  <c r="M141" i="4"/>
  <c r="K144" i="4"/>
  <c r="M152" i="4"/>
  <c r="K155" i="4"/>
  <c r="K159" i="4"/>
  <c r="K85" i="4"/>
  <c r="M85" i="4"/>
  <c r="K90" i="4"/>
  <c r="M90" i="4"/>
  <c r="K112" i="4"/>
  <c r="M112" i="4"/>
  <c r="K149" i="4"/>
  <c r="M149" i="4"/>
  <c r="K153" i="4"/>
  <c r="M153" i="4"/>
  <c r="M158" i="4"/>
  <c r="K158" i="4"/>
  <c r="M162" i="4"/>
  <c r="K162" i="4"/>
  <c r="M216" i="4"/>
  <c r="K216" i="4"/>
  <c r="M220" i="4"/>
  <c r="K220" i="4"/>
  <c r="M224" i="4"/>
  <c r="K224" i="4"/>
  <c r="H228" i="4"/>
  <c r="M228" i="4"/>
  <c r="K228" i="4"/>
  <c r="K235" i="4"/>
  <c r="M235" i="4"/>
  <c r="K239" i="4"/>
  <c r="M239" i="4"/>
  <c r="K245" i="4"/>
  <c r="M245" i="4"/>
  <c r="M249" i="4"/>
  <c r="K249" i="4"/>
  <c r="M253" i="4"/>
  <c r="J253" i="4"/>
  <c r="K253" i="4"/>
  <c r="M259" i="4"/>
  <c r="K259" i="4"/>
  <c r="H259" i="4"/>
  <c r="J84" i="4"/>
  <c r="J86" i="4"/>
  <c r="J89" i="4"/>
  <c r="J91" i="4"/>
  <c r="J93" i="4"/>
  <c r="J96" i="4"/>
  <c r="H100" i="4"/>
  <c r="H102" i="4"/>
  <c r="J104" i="4"/>
  <c r="J106" i="4"/>
  <c r="J110" i="4"/>
  <c r="J112" i="4"/>
  <c r="J114" i="4"/>
  <c r="H118" i="4"/>
  <c r="J120" i="4"/>
  <c r="J125" i="4"/>
  <c r="J131" i="4"/>
  <c r="J135" i="4"/>
  <c r="H140" i="4"/>
  <c r="J144" i="4"/>
  <c r="J148" i="4"/>
  <c r="J152" i="4"/>
  <c r="H155" i="4"/>
  <c r="H158" i="4"/>
  <c r="H160" i="4"/>
  <c r="H162" i="4"/>
  <c r="H164" i="4"/>
  <c r="H168" i="4"/>
  <c r="H170" i="4"/>
  <c r="H173" i="4"/>
  <c r="J177" i="4"/>
  <c r="J180" i="4"/>
  <c r="J182" i="4"/>
  <c r="J184" i="4"/>
  <c r="J186" i="4"/>
  <c r="J188" i="4"/>
  <c r="J190" i="4"/>
  <c r="J192" i="4"/>
  <c r="J195" i="4"/>
  <c r="H199" i="4"/>
  <c r="H207" i="4"/>
  <c r="H215" i="4"/>
  <c r="H223" i="4"/>
  <c r="H239" i="4"/>
  <c r="H248" i="4"/>
  <c r="H256" i="4"/>
  <c r="M84" i="4"/>
  <c r="M89" i="4"/>
  <c r="M93" i="4"/>
  <c r="M101" i="4"/>
  <c r="M105" i="4"/>
  <c r="K120" i="4"/>
  <c r="M127" i="4"/>
  <c r="K165" i="4"/>
  <c r="M174" i="4"/>
  <c r="K178" i="4"/>
  <c r="M184" i="4"/>
  <c r="K187" i="4"/>
  <c r="M192" i="4"/>
  <c r="K196" i="4"/>
  <c r="K204" i="4"/>
  <c r="K212" i="4"/>
  <c r="K123" i="4"/>
  <c r="M123" i="4"/>
  <c r="K128" i="4"/>
  <c r="M128" i="4"/>
  <c r="K133" i="4"/>
  <c r="M133" i="4"/>
  <c r="K138" i="4"/>
  <c r="M138" i="4"/>
  <c r="K142" i="4"/>
  <c r="M142" i="4"/>
  <c r="K146" i="4"/>
  <c r="M146" i="4"/>
  <c r="M150" i="4"/>
  <c r="K150" i="4"/>
  <c r="M154" i="4"/>
  <c r="K154" i="4"/>
  <c r="H201" i="4"/>
  <c r="K201" i="4"/>
  <c r="H205" i="4"/>
  <c r="K205" i="4"/>
  <c r="H209" i="4"/>
  <c r="K209" i="4"/>
  <c r="H213" i="4"/>
  <c r="K213" i="4"/>
  <c r="H217" i="4"/>
  <c r="M217" i="4"/>
  <c r="K217" i="4"/>
  <c r="H221" i="4"/>
  <c r="M221" i="4"/>
  <c r="K221" i="4"/>
  <c r="H225" i="4"/>
  <c r="M225" i="4"/>
  <c r="K225" i="4"/>
  <c r="K231" i="4"/>
  <c r="H231" i="4"/>
  <c r="M236" i="4"/>
  <c r="K236" i="4"/>
  <c r="M240" i="4"/>
  <c r="K240" i="4"/>
  <c r="H246" i="4"/>
  <c r="K246" i="4"/>
  <c r="H250" i="4"/>
  <c r="M250" i="4"/>
  <c r="K250" i="4"/>
  <c r="M254" i="4"/>
  <c r="K254" i="4"/>
  <c r="H254" i="4"/>
  <c r="H85" i="4"/>
  <c r="H88" i="4"/>
  <c r="H90" i="4"/>
  <c r="H92" i="4"/>
  <c r="H95" i="4"/>
  <c r="H98" i="4"/>
  <c r="J100" i="4"/>
  <c r="J102" i="4"/>
  <c r="H105" i="4"/>
  <c r="H107" i="4"/>
  <c r="H109" i="4"/>
  <c r="H111" i="4"/>
  <c r="H113" i="4"/>
  <c r="H115" i="4"/>
  <c r="H121" i="4"/>
  <c r="H123" i="4"/>
  <c r="H126" i="4"/>
  <c r="H129" i="4"/>
  <c r="H132" i="4"/>
  <c r="J140" i="4"/>
  <c r="H145" i="4"/>
  <c r="H149" i="4"/>
  <c r="H151" i="4"/>
  <c r="H153" i="4"/>
  <c r="J155" i="4"/>
  <c r="J158" i="4"/>
  <c r="J160" i="4"/>
  <c r="J162" i="4"/>
  <c r="J164" i="4"/>
  <c r="J168" i="4"/>
  <c r="H174" i="4"/>
  <c r="H178" i="4"/>
  <c r="H183" i="4"/>
  <c r="H187" i="4"/>
  <c r="H191" i="4"/>
  <c r="H196" i="4"/>
  <c r="H200" i="4"/>
  <c r="H208" i="4"/>
  <c r="H216" i="4"/>
  <c r="H224" i="4"/>
  <c r="H240" i="4"/>
  <c r="H249" i="4"/>
  <c r="K88" i="4"/>
  <c r="K92" i="4"/>
  <c r="K100" i="4"/>
  <c r="K104" i="4"/>
  <c r="K109" i="4"/>
  <c r="K113" i="4"/>
  <c r="K126" i="4"/>
  <c r="K131" i="4"/>
  <c r="K140" i="4"/>
  <c r="M145" i="4"/>
  <c r="K151" i="4"/>
  <c r="M160" i="4"/>
  <c r="K163" i="4"/>
  <c r="F262" i="4"/>
  <c r="F263" i="4" s="1"/>
  <c r="M83" i="4"/>
  <c r="K118" i="4"/>
  <c r="M118" i="4"/>
  <c r="M134" i="4"/>
  <c r="K134" i="4"/>
  <c r="M139" i="4"/>
  <c r="K139" i="4"/>
  <c r="M143" i="4"/>
  <c r="K143" i="4"/>
  <c r="M147" i="4"/>
  <c r="K147" i="4"/>
  <c r="K170" i="4"/>
  <c r="M170" i="4"/>
  <c r="K175" i="4"/>
  <c r="M175" i="4"/>
  <c r="K181" i="4"/>
  <c r="M181" i="4"/>
  <c r="K185" i="4"/>
  <c r="M185" i="4"/>
  <c r="K189" i="4"/>
  <c r="M189" i="4"/>
  <c r="K193" i="4"/>
  <c r="M193" i="4"/>
  <c r="K198" i="4"/>
  <c r="M198" i="4"/>
  <c r="K202" i="4"/>
  <c r="M202" i="4"/>
  <c r="H202" i="4"/>
  <c r="K206" i="4"/>
  <c r="M206" i="4"/>
  <c r="H206" i="4"/>
  <c r="K210" i="4"/>
  <c r="M210" i="4"/>
  <c r="H210" i="4"/>
  <c r="K214" i="4"/>
  <c r="M214" i="4"/>
  <c r="H214" i="4"/>
  <c r="K218" i="4"/>
  <c r="M218" i="4"/>
  <c r="H218" i="4"/>
  <c r="K222" i="4"/>
  <c r="M222" i="4"/>
  <c r="H222" i="4"/>
  <c r="K226" i="4"/>
  <c r="M226" i="4"/>
  <c r="H226" i="4"/>
  <c r="J232" i="4"/>
  <c r="M232" i="4"/>
  <c r="K232" i="4"/>
  <c r="H237" i="4"/>
  <c r="M237" i="4"/>
  <c r="K237" i="4"/>
  <c r="H242" i="4"/>
  <c r="M242" i="4"/>
  <c r="K242" i="4"/>
  <c r="J242" i="4"/>
  <c r="K247" i="4"/>
  <c r="M247" i="4"/>
  <c r="H247" i="4"/>
  <c r="K251" i="4"/>
  <c r="M251" i="4"/>
  <c r="H251" i="4"/>
  <c r="K256" i="4"/>
  <c r="M256" i="4"/>
  <c r="J83" i="4"/>
  <c r="J85" i="4"/>
  <c r="J88" i="4"/>
  <c r="J90" i="4"/>
  <c r="J92" i="4"/>
  <c r="J95" i="4"/>
  <c r="J98" i="4"/>
  <c r="H103" i="4"/>
  <c r="J107" i="4"/>
  <c r="J109" i="4"/>
  <c r="J111" i="4"/>
  <c r="J113" i="4"/>
  <c r="J123" i="4"/>
  <c r="J126" i="4"/>
  <c r="J129" i="4"/>
  <c r="J132" i="4"/>
  <c r="J134" i="4"/>
  <c r="H138" i="4"/>
  <c r="H141" i="4"/>
  <c r="J143" i="4"/>
  <c r="J145" i="4"/>
  <c r="J147" i="4"/>
  <c r="J149" i="4"/>
  <c r="J151" i="4"/>
  <c r="J153" i="4"/>
  <c r="H157" i="4"/>
  <c r="H159" i="4"/>
  <c r="H161" i="4"/>
  <c r="H169" i="4"/>
  <c r="H172" i="4"/>
  <c r="H175" i="4"/>
  <c r="J178" i="4"/>
  <c r="J181" i="4"/>
  <c r="J183" i="4"/>
  <c r="J185" i="4"/>
  <c r="J187" i="4"/>
  <c r="J189" i="4"/>
  <c r="J191" i="4"/>
  <c r="J193" i="4"/>
  <c r="H197" i="4"/>
  <c r="H203" i="4"/>
  <c r="H211" i="4"/>
  <c r="H219" i="4"/>
  <c r="H227" i="4"/>
  <c r="H235" i="4"/>
  <c r="H243" i="4"/>
  <c r="H252" i="4"/>
  <c r="J259" i="4"/>
  <c r="M98" i="4"/>
  <c r="M102" i="4"/>
  <c r="M106" i="4"/>
  <c r="M111" i="4"/>
  <c r="M115" i="4"/>
  <c r="M169" i="4"/>
  <c r="K173" i="4"/>
  <c r="M180" i="4"/>
  <c r="K183" i="4"/>
  <c r="M188" i="4"/>
  <c r="K191" i="4"/>
  <c r="M197" i="4"/>
  <c r="K200" i="4"/>
  <c r="M205" i="4"/>
  <c r="K208" i="4"/>
  <c r="M213" i="4"/>
  <c r="P262" i="4"/>
  <c r="Q83" i="4"/>
  <c r="L264" i="4"/>
  <c r="O262" i="4"/>
  <c r="S262" i="4"/>
  <c r="T83" i="4"/>
  <c r="T77" i="4"/>
  <c r="U77" i="4" s="1"/>
  <c r="T61" i="4"/>
  <c r="U61" i="4" s="1"/>
  <c r="T46" i="4"/>
  <c r="U46" i="4" s="1"/>
  <c r="T23" i="4"/>
  <c r="U23" i="4" s="1"/>
  <c r="S77" i="4"/>
  <c r="U78" i="4"/>
  <c r="V78" i="4" s="1"/>
  <c r="S72" i="4"/>
  <c r="T72" i="4" s="1"/>
  <c r="U72" i="4" s="1"/>
  <c r="S73" i="4"/>
  <c r="T73" i="4" s="1"/>
  <c r="U73" i="4" s="1"/>
  <c r="S74" i="4"/>
  <c r="T74" i="4" s="1"/>
  <c r="U74" i="4" s="1"/>
  <c r="S75" i="4"/>
  <c r="T75" i="4" s="1"/>
  <c r="U75" i="4" s="1"/>
  <c r="S70" i="4"/>
  <c r="T70" i="4" s="1"/>
  <c r="U70" i="4" s="1"/>
  <c r="S67" i="4"/>
  <c r="T67" i="4" s="1"/>
  <c r="U67" i="4" s="1"/>
  <c r="S68" i="4"/>
  <c r="T68" i="4" s="1"/>
  <c r="U68" i="4" s="1"/>
  <c r="S65" i="4"/>
  <c r="T65" i="4" s="1"/>
  <c r="U65" i="4" s="1"/>
  <c r="S63" i="4"/>
  <c r="T63" i="4" s="1"/>
  <c r="U63" i="4" s="1"/>
  <c r="S61" i="4"/>
  <c r="S56" i="4"/>
  <c r="T56" i="4" s="1"/>
  <c r="U56" i="4" s="1"/>
  <c r="S57" i="4"/>
  <c r="T57" i="4" s="1"/>
  <c r="U57" i="4" s="1"/>
  <c r="S58" i="4"/>
  <c r="T58" i="4" s="1"/>
  <c r="U58" i="4" s="1"/>
  <c r="S59" i="4"/>
  <c r="T59" i="4" s="1"/>
  <c r="U59" i="4" s="1"/>
  <c r="S53" i="4"/>
  <c r="T53" i="4" s="1"/>
  <c r="U53" i="4" s="1"/>
  <c r="S54" i="4"/>
  <c r="T54" i="4" s="1"/>
  <c r="U54" i="4" s="1"/>
  <c r="S48" i="4"/>
  <c r="T48" i="4" s="1"/>
  <c r="U48" i="4" s="1"/>
  <c r="S49" i="4"/>
  <c r="T49" i="4" s="1"/>
  <c r="U49" i="4" s="1"/>
  <c r="S50" i="4"/>
  <c r="T50" i="4" s="1"/>
  <c r="U50" i="4" s="1"/>
  <c r="S51" i="4"/>
  <c r="T51" i="4" s="1"/>
  <c r="U51" i="4" s="1"/>
  <c r="S44" i="4"/>
  <c r="T44" i="4" s="1"/>
  <c r="U44" i="4" s="1"/>
  <c r="S45" i="4"/>
  <c r="T45" i="4" s="1"/>
  <c r="U45" i="4" s="1"/>
  <c r="S46" i="4"/>
  <c r="S42" i="4"/>
  <c r="T42" i="4" s="1"/>
  <c r="U42" i="4" s="1"/>
  <c r="S40" i="4"/>
  <c r="T40" i="4" s="1"/>
  <c r="U40" i="4" s="1"/>
  <c r="S37" i="4"/>
  <c r="T37" i="4" s="1"/>
  <c r="U37" i="4" s="1"/>
  <c r="S35" i="4"/>
  <c r="T35" i="4" s="1"/>
  <c r="U35" i="4" s="1"/>
  <c r="S34" i="4"/>
  <c r="T34" i="4" s="1"/>
  <c r="U34" i="4" s="1"/>
  <c r="S30" i="4"/>
  <c r="T30" i="4" s="1"/>
  <c r="U30" i="4" s="1"/>
  <c r="S31" i="4"/>
  <c r="T31" i="4" s="1"/>
  <c r="U31" i="4" s="1"/>
  <c r="S33" i="4"/>
  <c r="T33" i="4" s="1"/>
  <c r="U33" i="4" s="1"/>
  <c r="S29" i="4"/>
  <c r="T29" i="4" s="1"/>
  <c r="U29" i="4" s="1"/>
  <c r="S26" i="4"/>
  <c r="T26" i="4" s="1"/>
  <c r="U26" i="4" s="1"/>
  <c r="S23" i="4"/>
  <c r="S25" i="4"/>
  <c r="T25" i="4" s="1"/>
  <c r="U25" i="4" s="1"/>
  <c r="S18" i="4"/>
  <c r="T18" i="4" s="1"/>
  <c r="U18" i="4" s="1"/>
  <c r="S19" i="4"/>
  <c r="T19" i="4" s="1"/>
  <c r="U19" i="4" s="1"/>
  <c r="S20" i="4"/>
  <c r="S21" i="4"/>
  <c r="T21" i="4" s="1"/>
  <c r="U21" i="4" s="1"/>
  <c r="S16" i="4"/>
  <c r="T16" i="4" s="1"/>
  <c r="U16" i="4" s="1"/>
  <c r="S14" i="4"/>
  <c r="T14" i="4" s="1"/>
  <c r="U14" i="4" s="1"/>
  <c r="Q262" i="4" l="1"/>
  <c r="R83" i="4"/>
  <c r="K262" i="4"/>
  <c r="T262" i="4"/>
  <c r="U83" i="4"/>
  <c r="U262" i="4" s="1"/>
  <c r="U264" i="4" s="1"/>
  <c r="S79" i="4"/>
  <c r="O263" i="4"/>
  <c r="M262" i="4"/>
  <c r="S264" i="4"/>
  <c r="U79" i="4"/>
  <c r="T20" i="4"/>
  <c r="U20" i="4" s="1"/>
  <c r="R262" i="4" l="1"/>
  <c r="V83" i="4"/>
  <c r="V262" i="4" s="1"/>
  <c r="T79" i="4"/>
  <c r="T264" i="4" s="1"/>
  <c r="P77" i="4" l="1"/>
  <c r="Q77" i="4" s="1"/>
  <c r="R77" i="4" s="1"/>
  <c r="V77" i="4" s="1"/>
  <c r="P75" i="4"/>
  <c r="Q75" i="4" s="1"/>
  <c r="R75" i="4" s="1"/>
  <c r="V75" i="4" s="1"/>
  <c r="P72" i="4"/>
  <c r="Q72" i="4" s="1"/>
  <c r="R72" i="4" s="1"/>
  <c r="V72" i="4" s="1"/>
  <c r="P73" i="4"/>
  <c r="Q73" i="4" s="1"/>
  <c r="R73" i="4" s="1"/>
  <c r="V73" i="4" s="1"/>
  <c r="P74" i="4"/>
  <c r="Q74" i="4" s="1"/>
  <c r="R74" i="4" s="1"/>
  <c r="V74" i="4" s="1"/>
  <c r="P70" i="4"/>
  <c r="Q70" i="4" s="1"/>
  <c r="R70" i="4" s="1"/>
  <c r="V70" i="4" s="1"/>
  <c r="P67" i="4"/>
  <c r="Q67" i="4" s="1"/>
  <c r="R67" i="4" s="1"/>
  <c r="V67" i="4" s="1"/>
  <c r="P68" i="4"/>
  <c r="Q68" i="4" s="1"/>
  <c r="R68" i="4" s="1"/>
  <c r="V68" i="4" s="1"/>
  <c r="P65" i="4"/>
  <c r="Q65" i="4" s="1"/>
  <c r="R65" i="4" s="1"/>
  <c r="V65" i="4" s="1"/>
  <c r="P63" i="4"/>
  <c r="Q63" i="4" s="1"/>
  <c r="R63" i="4" s="1"/>
  <c r="V63" i="4" s="1"/>
  <c r="P61" i="4"/>
  <c r="Q61" i="4" s="1"/>
  <c r="R61" i="4" s="1"/>
  <c r="V61" i="4" s="1"/>
  <c r="P56" i="4"/>
  <c r="Q56" i="4" s="1"/>
  <c r="R56" i="4" s="1"/>
  <c r="V56" i="4" s="1"/>
  <c r="P57" i="4"/>
  <c r="Q57" i="4" s="1"/>
  <c r="R57" i="4" s="1"/>
  <c r="V57" i="4" s="1"/>
  <c r="P58" i="4"/>
  <c r="Q58" i="4" s="1"/>
  <c r="R58" i="4" s="1"/>
  <c r="V58" i="4" s="1"/>
  <c r="P59" i="4"/>
  <c r="Q59" i="4" s="1"/>
  <c r="R59" i="4" s="1"/>
  <c r="V59" i="4" s="1"/>
  <c r="P54" i="4"/>
  <c r="Q54" i="4" s="1"/>
  <c r="R54" i="4" s="1"/>
  <c r="V54" i="4" s="1"/>
  <c r="P53" i="4"/>
  <c r="Q53" i="4" s="1"/>
  <c r="R53" i="4" s="1"/>
  <c r="V53" i="4" s="1"/>
  <c r="P51" i="4"/>
  <c r="Q51" i="4" s="1"/>
  <c r="R51" i="4" s="1"/>
  <c r="V51" i="4" s="1"/>
  <c r="P48" i="4"/>
  <c r="Q48" i="4" s="1"/>
  <c r="R48" i="4" s="1"/>
  <c r="V48" i="4" s="1"/>
  <c r="P49" i="4"/>
  <c r="Q49" i="4" s="1"/>
  <c r="R49" i="4" s="1"/>
  <c r="V49" i="4" s="1"/>
  <c r="P50" i="4"/>
  <c r="Q50" i="4" s="1"/>
  <c r="R50" i="4" s="1"/>
  <c r="V50" i="4" s="1"/>
  <c r="P44" i="4"/>
  <c r="Q44" i="4" s="1"/>
  <c r="R44" i="4" s="1"/>
  <c r="V44" i="4" s="1"/>
  <c r="P45" i="4"/>
  <c r="Q45" i="4" s="1"/>
  <c r="R45" i="4" s="1"/>
  <c r="V45" i="4" s="1"/>
  <c r="P46" i="4"/>
  <c r="Q46" i="4" s="1"/>
  <c r="R46" i="4" s="1"/>
  <c r="V46" i="4" s="1"/>
  <c r="P42" i="4"/>
  <c r="Q42" i="4" s="1"/>
  <c r="R42" i="4" s="1"/>
  <c r="V42" i="4" s="1"/>
  <c r="P40" i="4"/>
  <c r="Q40" i="4" s="1"/>
  <c r="R40" i="4" s="1"/>
  <c r="V40" i="4" s="1"/>
  <c r="P37" i="4"/>
  <c r="Q37" i="4" s="1"/>
  <c r="R37" i="4" s="1"/>
  <c r="V37" i="4" s="1"/>
  <c r="P35" i="4"/>
  <c r="Q35" i="4" s="1"/>
  <c r="R35" i="4" s="1"/>
  <c r="V35" i="4" s="1"/>
  <c r="P34" i="4"/>
  <c r="Q34" i="4" s="1"/>
  <c r="R34" i="4" s="1"/>
  <c r="V34" i="4" s="1"/>
  <c r="P33" i="4"/>
  <c r="Q33" i="4" s="1"/>
  <c r="R33" i="4" s="1"/>
  <c r="V33" i="4" s="1"/>
  <c r="P30" i="4"/>
  <c r="Q30" i="4" s="1"/>
  <c r="R30" i="4" s="1"/>
  <c r="V30" i="4" s="1"/>
  <c r="P31" i="4"/>
  <c r="Q31" i="4" s="1"/>
  <c r="R31" i="4" s="1"/>
  <c r="V31" i="4" s="1"/>
  <c r="P29" i="4"/>
  <c r="Q29" i="4" s="1"/>
  <c r="R29" i="4" s="1"/>
  <c r="V29" i="4" s="1"/>
  <c r="P26" i="4"/>
  <c r="Q26" i="4" s="1"/>
  <c r="R26" i="4" s="1"/>
  <c r="V26" i="4" s="1"/>
  <c r="P25" i="4"/>
  <c r="Q25" i="4" s="1"/>
  <c r="R25" i="4" s="1"/>
  <c r="V25" i="4" s="1"/>
  <c r="P22" i="4"/>
  <c r="Q22" i="4" s="1"/>
  <c r="P23" i="4"/>
  <c r="Q23" i="4" s="1"/>
  <c r="R23" i="4" s="1"/>
  <c r="V23" i="4" s="1"/>
  <c r="P20" i="4"/>
  <c r="Q20" i="4" s="1"/>
  <c r="R20" i="4" s="1"/>
  <c r="V20" i="4" s="1"/>
  <c r="P21" i="4"/>
  <c r="Q21" i="4" s="1"/>
  <c r="R21" i="4" s="1"/>
  <c r="V21" i="4" s="1"/>
  <c r="P19" i="4"/>
  <c r="Q19" i="4" s="1"/>
  <c r="R19" i="4" s="1"/>
  <c r="V19" i="4" s="1"/>
  <c r="P18" i="4"/>
  <c r="Q18" i="4" s="1"/>
  <c r="R18" i="4" s="1"/>
  <c r="V18" i="4" s="1"/>
  <c r="P16" i="4"/>
  <c r="Q16" i="4" s="1"/>
  <c r="R16" i="4" s="1"/>
  <c r="V16" i="4" s="1"/>
  <c r="R14" i="4"/>
  <c r="O14" i="4"/>
  <c r="V14" i="4" l="1"/>
  <c r="V79" i="4" s="1"/>
  <c r="V264" i="4" s="1"/>
  <c r="R79" i="4"/>
  <c r="R264" i="4" s="1"/>
  <c r="Q79" i="4"/>
  <c r="Q264" i="4" s="1"/>
  <c r="P79" i="4"/>
  <c r="P264" i="4" s="1"/>
  <c r="N79" i="4"/>
  <c r="N264" i="4" s="1"/>
  <c r="O78" i="4"/>
  <c r="F78" i="4"/>
  <c r="O77" i="4"/>
  <c r="F77" i="4"/>
  <c r="K77" i="4" s="1"/>
  <c r="O75" i="4"/>
  <c r="F75" i="4"/>
  <c r="J75" i="4" s="1"/>
  <c r="O74" i="4"/>
  <c r="F74" i="4"/>
  <c r="M74" i="4" s="1"/>
  <c r="O73" i="4"/>
  <c r="F73" i="4"/>
  <c r="J73" i="4" s="1"/>
  <c r="O72" i="4"/>
  <c r="F72" i="4"/>
  <c r="M72" i="4" s="1"/>
  <c r="O70" i="4"/>
  <c r="F70" i="4"/>
  <c r="J70" i="4" s="1"/>
  <c r="O68" i="4"/>
  <c r="F68" i="4"/>
  <c r="O67" i="4"/>
  <c r="F67" i="4"/>
  <c r="J67" i="4" s="1"/>
  <c r="O65" i="4"/>
  <c r="F65" i="4"/>
  <c r="M65" i="4" s="1"/>
  <c r="O63" i="4"/>
  <c r="F63" i="4"/>
  <c r="H63" i="4" s="1"/>
  <c r="O61" i="4"/>
  <c r="F61" i="4"/>
  <c r="K61" i="4" s="1"/>
  <c r="O59" i="4"/>
  <c r="H59" i="4"/>
  <c r="F59" i="4"/>
  <c r="M59" i="4" s="1"/>
  <c r="O58" i="4"/>
  <c r="F58" i="4"/>
  <c r="J58" i="4" s="1"/>
  <c r="O57" i="4"/>
  <c r="F57" i="4"/>
  <c r="H57" i="4" s="1"/>
  <c r="O56" i="4"/>
  <c r="F56" i="4"/>
  <c r="J56" i="4" s="1"/>
  <c r="O54" i="4"/>
  <c r="F54" i="4"/>
  <c r="K54" i="4" s="1"/>
  <c r="O53" i="4"/>
  <c r="F53" i="4"/>
  <c r="J53" i="4" s="1"/>
  <c r="O51" i="4"/>
  <c r="F51" i="4"/>
  <c r="M51" i="4" s="1"/>
  <c r="O50" i="4"/>
  <c r="F50" i="4"/>
  <c r="O49" i="4"/>
  <c r="F49" i="4"/>
  <c r="M49" i="4" s="1"/>
  <c r="O48" i="4"/>
  <c r="F48" i="4"/>
  <c r="J48" i="4" s="1"/>
  <c r="O46" i="4"/>
  <c r="F46" i="4"/>
  <c r="O45" i="4"/>
  <c r="F45" i="4"/>
  <c r="J45" i="4" s="1"/>
  <c r="O44" i="4"/>
  <c r="F44" i="4"/>
  <c r="O42" i="4"/>
  <c r="F42" i="4"/>
  <c r="J42" i="4" s="1"/>
  <c r="F40" i="4"/>
  <c r="M40" i="4" s="1"/>
  <c r="F38" i="4"/>
  <c r="J38" i="4" s="1"/>
  <c r="O37" i="4"/>
  <c r="F37" i="4"/>
  <c r="F36" i="4"/>
  <c r="O35" i="4"/>
  <c r="F35" i="4"/>
  <c r="J35" i="4" s="1"/>
  <c r="O34" i="4"/>
  <c r="F34" i="4"/>
  <c r="M34" i="4" s="1"/>
  <c r="O33" i="4"/>
  <c r="F33" i="4"/>
  <c r="J33" i="4" s="1"/>
  <c r="O31" i="4"/>
  <c r="F31" i="4"/>
  <c r="M31" i="4" s="1"/>
  <c r="O30" i="4"/>
  <c r="F30" i="4"/>
  <c r="J30" i="4" s="1"/>
  <c r="O29" i="4"/>
  <c r="F29" i="4"/>
  <c r="H29" i="4" s="1"/>
  <c r="F28" i="4"/>
  <c r="J28" i="4" s="1"/>
  <c r="F27" i="4"/>
  <c r="J27" i="4" s="1"/>
  <c r="O26" i="4"/>
  <c r="F26" i="4"/>
  <c r="O25" i="4"/>
  <c r="F25" i="4"/>
  <c r="J25" i="4" s="1"/>
  <c r="O23" i="4"/>
  <c r="F23" i="4"/>
  <c r="M23" i="4" s="1"/>
  <c r="O22" i="4"/>
  <c r="F22" i="4"/>
  <c r="J22" i="4" s="1"/>
  <c r="O21" i="4"/>
  <c r="F21" i="4"/>
  <c r="M21" i="4" s="1"/>
  <c r="O20" i="4"/>
  <c r="F20" i="4"/>
  <c r="J20" i="4" s="1"/>
  <c r="O19" i="4"/>
  <c r="F19" i="4"/>
  <c r="F18" i="4"/>
  <c r="J18" i="4" s="1"/>
  <c r="O16" i="4"/>
  <c r="F16" i="4"/>
  <c r="K16" i="4" s="1"/>
  <c r="F15" i="4"/>
  <c r="J15" i="4" s="1"/>
  <c r="F14" i="4"/>
  <c r="H14" i="4" l="1"/>
  <c r="F79" i="4"/>
  <c r="F80" i="4" s="1"/>
  <c r="J14" i="4"/>
  <c r="J78" i="4"/>
  <c r="H78" i="4"/>
  <c r="H50" i="4"/>
  <c r="J50" i="4"/>
  <c r="J74" i="4"/>
  <c r="J21" i="4"/>
  <c r="K21" i="4"/>
  <c r="K14" i="4"/>
  <c r="J51" i="4"/>
  <c r="J59" i="4"/>
  <c r="H72" i="4"/>
  <c r="K74" i="4"/>
  <c r="J34" i="4"/>
  <c r="H49" i="4"/>
  <c r="K51" i="4"/>
  <c r="K59" i="4"/>
  <c r="J72" i="4"/>
  <c r="K34" i="4"/>
  <c r="J49" i="4"/>
  <c r="K72" i="4"/>
  <c r="H15" i="4"/>
  <c r="H31" i="4"/>
  <c r="J40" i="4"/>
  <c r="K49" i="4"/>
  <c r="J23" i="4"/>
  <c r="J31" i="4"/>
  <c r="K40" i="4"/>
  <c r="H21" i="4"/>
  <c r="K23" i="4"/>
  <c r="M44" i="4"/>
  <c r="J44" i="4"/>
  <c r="H44" i="4"/>
  <c r="H37" i="4"/>
  <c r="K37" i="4"/>
  <c r="H38" i="4"/>
  <c r="K44" i="4"/>
  <c r="M46" i="4"/>
  <c r="K46" i="4"/>
  <c r="J46" i="4"/>
  <c r="J36" i="4"/>
  <c r="H36" i="4"/>
  <c r="M77" i="4"/>
  <c r="J77" i="4"/>
  <c r="H77" i="4"/>
  <c r="M19" i="4"/>
  <c r="K19" i="4"/>
  <c r="J19" i="4"/>
  <c r="H19" i="4"/>
  <c r="J37" i="4"/>
  <c r="H46" i="4"/>
  <c r="M68" i="4"/>
  <c r="K68" i="4"/>
  <c r="J68" i="4"/>
  <c r="M16" i="4"/>
  <c r="J16" i="4"/>
  <c r="H16" i="4"/>
  <c r="M57" i="4"/>
  <c r="K57" i="4"/>
  <c r="J57" i="4"/>
  <c r="M26" i="4"/>
  <c r="J26" i="4"/>
  <c r="H26" i="4"/>
  <c r="M29" i="4"/>
  <c r="K29" i="4"/>
  <c r="J29" i="4"/>
  <c r="M54" i="4"/>
  <c r="J54" i="4"/>
  <c r="H54" i="4"/>
  <c r="H68" i="4"/>
  <c r="K31" i="4"/>
  <c r="O79" i="4"/>
  <c r="H23" i="4"/>
  <c r="H28" i="4"/>
  <c r="H34" i="4"/>
  <c r="H40" i="4"/>
  <c r="H51" i="4"/>
  <c r="H74" i="4"/>
  <c r="K18" i="4"/>
  <c r="K20" i="4"/>
  <c r="K22" i="4"/>
  <c r="K25" i="4"/>
  <c r="K30" i="4"/>
  <c r="K33" i="4"/>
  <c r="K35" i="4"/>
  <c r="K42" i="4"/>
  <c r="K45" i="4"/>
  <c r="K48" i="4"/>
  <c r="K50" i="4"/>
  <c r="K53" i="4"/>
  <c r="K56" i="4"/>
  <c r="K58" i="4"/>
  <c r="M61" i="4"/>
  <c r="J63" i="4"/>
  <c r="K67" i="4"/>
  <c r="K70" i="4"/>
  <c r="K73" i="4"/>
  <c r="K75" i="4"/>
  <c r="K78" i="4"/>
  <c r="M18" i="4"/>
  <c r="M20" i="4"/>
  <c r="M30" i="4"/>
  <c r="M33" i="4"/>
  <c r="M35" i="4"/>
  <c r="M42" i="4"/>
  <c r="M45" i="4"/>
  <c r="M48" i="4"/>
  <c r="M50" i="4"/>
  <c r="M53" i="4"/>
  <c r="M56" i="4"/>
  <c r="M58" i="4"/>
  <c r="K63" i="4"/>
  <c r="H65" i="4"/>
  <c r="M67" i="4"/>
  <c r="M70" i="4"/>
  <c r="M73" i="4"/>
  <c r="M75" i="4"/>
  <c r="M78" i="4"/>
  <c r="M14" i="4"/>
  <c r="H18" i="4"/>
  <c r="H20" i="4"/>
  <c r="H22" i="4"/>
  <c r="H25" i="4"/>
  <c r="K26" i="4"/>
  <c r="H27" i="4"/>
  <c r="H30" i="4"/>
  <c r="H33" i="4"/>
  <c r="H35" i="4"/>
  <c r="M37" i="4"/>
  <c r="H42" i="4"/>
  <c r="H45" i="4"/>
  <c r="H48" i="4"/>
  <c r="H53" i="4"/>
  <c r="H56" i="4"/>
  <c r="H58" i="4"/>
  <c r="H61" i="4"/>
  <c r="M63" i="4"/>
  <c r="K65" i="4"/>
  <c r="H67" i="4"/>
  <c r="H70" i="4"/>
  <c r="H73" i="4"/>
  <c r="H75" i="4"/>
  <c r="M22" i="4"/>
  <c r="M25" i="4"/>
  <c r="O80" i="4" l="1"/>
  <c r="O265" i="4" s="1"/>
  <c r="O264" i="4"/>
  <c r="K79" i="4"/>
  <c r="K264" i="4" s="1"/>
  <c r="M79" i="4"/>
  <c r="M264" i="4" s="1"/>
  <c r="E23" i="3" l="1"/>
  <c r="E22" i="3"/>
  <c r="E21" i="3"/>
  <c r="E20" i="3"/>
  <c r="E19" i="3"/>
  <c r="E18" i="3"/>
  <c r="E17" i="3"/>
  <c r="E16" i="3"/>
  <c r="E25" i="3" s="1"/>
  <c r="C12" i="3" s="1"/>
  <c r="C10" i="3" l="1"/>
  <c r="D12" i="3" s="1"/>
  <c r="C25" i="3" l="1"/>
  <c r="D54" i="2"/>
  <c r="D49" i="2"/>
  <c r="D55" i="2"/>
  <c r="D63" i="2"/>
  <c r="D51" i="2"/>
  <c r="D22" i="2"/>
  <c r="D25" i="3" l="1"/>
  <c r="E28" i="8"/>
  <c r="E27" i="8"/>
  <c r="E26" i="8"/>
  <c r="E22" i="8"/>
  <c r="E21" i="8"/>
  <c r="E20" i="8"/>
  <c r="E19" i="8"/>
  <c r="E18" i="8"/>
  <c r="E17" i="8"/>
  <c r="E16" i="8"/>
  <c r="E15" i="8"/>
  <c r="E14" i="8"/>
  <c r="E13" i="8"/>
  <c r="E12" i="8"/>
  <c r="E11" i="8"/>
  <c r="E10" i="8"/>
  <c r="E9" i="8"/>
  <c r="E8" i="8"/>
  <c r="E7" i="8"/>
  <c r="E6" i="8"/>
  <c r="I38" i="1" l="1"/>
  <c r="I25" i="1"/>
  <c r="D142" i="2" l="1"/>
  <c r="D140" i="2"/>
  <c r="D138" i="2"/>
  <c r="D131" i="2"/>
  <c r="D152" i="2" s="1"/>
  <c r="D128" i="2"/>
  <c r="D124" i="2"/>
  <c r="D123" i="2" s="1"/>
  <c r="D121" i="2"/>
  <c r="D115" i="2"/>
  <c r="D113" i="2"/>
  <c r="D111" i="2"/>
  <c r="D109" i="2"/>
  <c r="D107" i="2"/>
  <c r="D105" i="2"/>
  <c r="D103" i="2"/>
  <c r="D90" i="2"/>
  <c r="D86" i="2"/>
  <c r="D84" i="2"/>
  <c r="D82" i="2"/>
  <c r="D77" i="2"/>
  <c r="D68" i="2"/>
  <c r="D47" i="2"/>
  <c r="D40" i="2"/>
  <c r="D23" i="2"/>
  <c r="D21" i="2"/>
  <c r="D19" i="2"/>
  <c r="D17" i="2"/>
  <c r="D10" i="2"/>
  <c r="D127" i="2" l="1"/>
  <c r="D151" i="2"/>
  <c r="D153" i="2" s="1"/>
  <c r="D137" i="2"/>
  <c r="D146" i="2" s="1"/>
  <c r="D46" i="2"/>
  <c r="D9" i="2"/>
  <c r="D145" i="2" l="1"/>
  <c r="D148" i="2"/>
  <c r="I66" i="1"/>
  <c r="I90" i="1"/>
  <c r="I82" i="1" l="1"/>
  <c r="I92" i="1" s="1"/>
  <c r="I75" i="1"/>
  <c r="I57" i="1"/>
  <c r="I44" i="1"/>
  <c r="I32" i="1"/>
  <c r="I27" i="1"/>
  <c r="I19" i="1"/>
  <c r="I12" i="1"/>
</calcChain>
</file>

<file path=xl/comments1.xml><?xml version="1.0" encoding="utf-8"?>
<comments xmlns="http://schemas.openxmlformats.org/spreadsheetml/2006/main">
  <authors>
    <author>Carlos Alfonso Forero Ruiz</author>
  </authors>
  <commentList>
    <comment ref="D38" authorId="0" shapeId="0">
      <text>
        <r>
          <rPr>
            <b/>
            <sz val="9"/>
            <color indexed="81"/>
            <rFont val="Tahoma"/>
            <family val="2"/>
          </rPr>
          <t>90% de $107 mil millones asignados</t>
        </r>
      </text>
    </comment>
  </commentList>
</comments>
</file>

<file path=xl/sharedStrings.xml><?xml version="1.0" encoding="utf-8"?>
<sst xmlns="http://schemas.openxmlformats.org/spreadsheetml/2006/main" count="763" uniqueCount="562">
  <si>
    <t>Actividades de incidencia social e impacto regional</t>
  </si>
  <si>
    <t>Bienestar institucional de la comunidad educativa</t>
  </si>
  <si>
    <t>Cualificación docente</t>
  </si>
  <si>
    <t>Desarrollo físico y sostenibilidad ambiental (incluye infraestructura e inversión en planta física)</t>
  </si>
  <si>
    <t>Desarrollo tecnológico (incluye inversiones en infraestructura tecnológica, equipos de cómputo, equipos médico-científicos y dotación bibliográfica)</t>
  </si>
  <si>
    <t>Internacionalización</t>
  </si>
  <si>
    <t>Investigación, innovación y extensión</t>
  </si>
  <si>
    <t>Programas académicos</t>
  </si>
  <si>
    <t>Becas y apoyos a estudiantes</t>
  </si>
  <si>
    <t>Convocatorias de incidencia y proyección social para proyectos relacionados con el programa Panamazónico</t>
  </si>
  <si>
    <t>Plan de Beneficios Flexibles</t>
  </si>
  <si>
    <t>Programas de crecimiento personal para el cuerpo administrativo de la Universidad.</t>
  </si>
  <si>
    <t xml:space="preserve">Plan de Formación Permanente del Profesor Javeriano - Componente de Formación en Posgrados </t>
  </si>
  <si>
    <t xml:space="preserve">Plan de Formación Permanente del Profesor Javeriano - Componente de Formación para el Desempeño Académico </t>
  </si>
  <si>
    <t xml:space="preserve">Plan de Formación Permanente del Profesor Javeriano -  Componente de Formación en Lenguas Extranjeras </t>
  </si>
  <si>
    <t>Acceso a escalas intermedias salariales</t>
  </si>
  <si>
    <t>Edificio de Laboratorios para Ingeniería</t>
  </si>
  <si>
    <t xml:space="preserve">Edificio de la Facultad de Ciencias (diseños e inicio de construcción) </t>
  </si>
  <si>
    <t xml:space="preserve">Plan de Regularización y manejo (Alameda Oriental y Ampliación del Túnel sobre carrera séptima) </t>
  </si>
  <si>
    <t xml:space="preserve">Atención de necesidades específicas y puntuales para mejorar los servicios deportivos y de alimentos a la Comunidad </t>
  </si>
  <si>
    <t>Sistemas de información para inteligencia de negocios</t>
  </si>
  <si>
    <t>Proyecto de Virtualización de Escritorios</t>
  </si>
  <si>
    <t xml:space="preserve">Actualización de equipos de cómputo para estudiantes, docentes y administrativos </t>
  </si>
  <si>
    <t>Renovación de esquemas de licenciamiento de software institucional</t>
  </si>
  <si>
    <t>Soporte de la infraestructura del Centro de Alto Rendimiento Computacional de la Universidad.</t>
  </si>
  <si>
    <t>Descuento del 50% en la matrícula a mejores estudiantes para intercambio académico</t>
  </si>
  <si>
    <t xml:space="preserve">Movilidad internacional -  Fondo para recepción de estudiantes extranjeros en posgrados </t>
  </si>
  <si>
    <t>Movilidad internacional - Fondo para asignaturas que toman los extranjeros en pregrado en la Universidad.</t>
  </si>
  <si>
    <t xml:space="preserve">Apoyo a estudiantes - convenios con la Embajada Francesa y Beijing Center </t>
  </si>
  <si>
    <t>Apoyo a estudiantes - Convenio con Georgetown y Harvard</t>
  </si>
  <si>
    <t>Convenios  semilleros de estudiantes para doble titulación e intercambio académico.</t>
  </si>
  <si>
    <t>Actividades de fomento de la investigación y la creación artística</t>
  </si>
  <si>
    <t>Proyecto de gestión de prácticas</t>
  </si>
  <si>
    <t>Proyecto de definición del Catálogo Universal de Asignaturas</t>
  </si>
  <si>
    <t>Unidad de Emprendimiento de la Universidad</t>
  </si>
  <si>
    <t>Política de Estímulos para el Fomento de la Excelencia Universitaria</t>
  </si>
  <si>
    <t>Fondo de Becas de la Rectoría</t>
  </si>
  <si>
    <t xml:space="preserve">Plan de Acompañamiento Integral para los estudiantes favorecidos con las becas del gobierno nacional </t>
  </si>
  <si>
    <t xml:space="preserve">Créditos a estudiantes </t>
  </si>
  <si>
    <t>Apoyo administrativo para gestión de convenios y créditos</t>
  </si>
  <si>
    <t>Aporte al Fondo de Sostenibilidad del ICETEX</t>
  </si>
  <si>
    <r>
      <rPr>
        <sz val="12"/>
        <color rgb="FF000000"/>
        <rFont val="Calibri"/>
        <family val="2"/>
        <scheme val="minor"/>
      </rPr>
      <t xml:space="preserve">Auxilio de matrícula de hijos de profesores y empleados administrativos de </t>
    </r>
    <r>
      <rPr>
        <sz val="12"/>
        <color theme="1"/>
        <rFont val="Calibri"/>
        <family val="2"/>
        <scheme val="minor"/>
      </rPr>
      <t>tiempo completo</t>
    </r>
  </si>
  <si>
    <r>
      <t>Fortalecimiento de</t>
    </r>
    <r>
      <rPr>
        <sz val="12"/>
        <color rgb="FF000000"/>
        <rFont val="Calibri"/>
        <family val="2"/>
        <scheme val="minor"/>
      </rPr>
      <t xml:space="preserve"> la colección bibliográfica </t>
    </r>
  </si>
  <si>
    <r>
      <t xml:space="preserve">Publicación de la revista </t>
    </r>
    <r>
      <rPr>
        <i/>
        <sz val="12"/>
        <color rgb="FF000000"/>
        <rFont val="Calibri"/>
        <family val="2"/>
        <scheme val="minor"/>
      </rPr>
      <t>Pesquisa</t>
    </r>
  </si>
  <si>
    <r>
      <t xml:space="preserve">Apoyo </t>
    </r>
    <r>
      <rPr>
        <sz val="12"/>
        <color rgb="FF000000"/>
        <rFont val="Calibri"/>
        <family val="2"/>
        <scheme val="minor"/>
      </rPr>
      <t>a la participación en eventos científicos</t>
    </r>
  </si>
  <si>
    <r>
      <t>E</t>
    </r>
    <r>
      <rPr>
        <sz val="12"/>
        <color rgb="FF000000"/>
        <rFont val="Calibri"/>
        <family val="2"/>
        <scheme val="minor"/>
      </rPr>
      <t>stancias de investigación y cursos de capacitación</t>
    </r>
  </si>
  <si>
    <r>
      <t>C</t>
    </r>
    <r>
      <rPr>
        <sz val="12"/>
        <color rgb="FF000000"/>
        <rFont val="Calibri"/>
        <family val="2"/>
        <scheme val="minor"/>
      </rPr>
      <t>ursos de capacitación para profesores en temas específicos en investigación.</t>
    </r>
  </si>
  <si>
    <t>Fecha de inicio del proyecto</t>
  </si>
  <si>
    <t>Fecha de finalización del proyecto</t>
  </si>
  <si>
    <t>GRAN TOTAL</t>
  </si>
  <si>
    <t>Con recursos propios</t>
  </si>
  <si>
    <t>Con ingresos adicionales de derechos pecuniarios</t>
  </si>
  <si>
    <t>Con créditos nuevos</t>
  </si>
  <si>
    <t>Fuente de los recursos</t>
  </si>
  <si>
    <t>Tipo de proyectos</t>
  </si>
  <si>
    <t>Cursos virtuales edX</t>
  </si>
  <si>
    <t>x</t>
  </si>
  <si>
    <t>Otros</t>
  </si>
  <si>
    <t>permanente</t>
  </si>
  <si>
    <t>-</t>
  </si>
  <si>
    <r>
      <rPr>
        <b/>
        <sz val="16"/>
        <color theme="1"/>
        <rFont val="Calibri"/>
        <family val="2"/>
        <scheme val="minor"/>
      </rPr>
      <t>Nota:</t>
    </r>
    <r>
      <rPr>
        <sz val="16"/>
        <color theme="1"/>
        <rFont val="Calibri"/>
        <family val="2"/>
        <scheme val="minor"/>
      </rPr>
      <t xml:space="preserve"> Debido a que en el presupuesto de la Universidad se aplica el principio de unidad de caja, no es posible presentar discriminado el monto de la inversión según la fuente de los recursos. </t>
    </r>
  </si>
  <si>
    <t>CONSEJO DIRECTIVO UNIVERSITARIO</t>
  </si>
  <si>
    <t>CONCEPTO</t>
  </si>
  <si>
    <t>INGRESOS OPERACIONALES</t>
  </si>
  <si>
    <t>MATRICULAS</t>
  </si>
  <si>
    <t>41600596  Matriculas pregrado primer</t>
  </si>
  <si>
    <t>41600597  Matriculas intersemestral 1er</t>
  </si>
  <si>
    <t>41600598  Matriculas pregrado segundo</t>
  </si>
  <si>
    <t>41600599  Matriculas posgrado primer</t>
  </si>
  <si>
    <t>41600508  Matriculas posgrado inter 1er</t>
  </si>
  <si>
    <t>41600505  Matriculas posgrado segundo</t>
  </si>
  <si>
    <t>ASIGNATURAS DE LIBRE ESCOGENCIA</t>
  </si>
  <si>
    <t>41600506  Programas no conducentes a tit</t>
  </si>
  <si>
    <t>EDUCACION CONTINUA</t>
  </si>
  <si>
    <t>41600601  Educacion Continua</t>
  </si>
  <si>
    <t>INVESTIGACIÓN, CONSULTORÍA Y OTROS PROYECTOS</t>
  </si>
  <si>
    <t>41600703  Consultorias y Asesorias</t>
  </si>
  <si>
    <t>OTROS INGRESOS CONEXOS CON LA EDUCACION</t>
  </si>
  <si>
    <t>4160950101  Actividades deportivas</t>
  </si>
  <si>
    <t>4160950102  Actividades asesoría sicologic</t>
  </si>
  <si>
    <t>4160950103  Actividades  de Pastoral</t>
  </si>
  <si>
    <t>4160950105  Actividades Fom.Iden y Cons.Co</t>
  </si>
  <si>
    <t>4160950205  Servicios audiovisuales</t>
  </si>
  <si>
    <t>4160950301  Clinicas odontologicas</t>
  </si>
  <si>
    <t>4160950303  Laboratorio de Diagnostico</t>
  </si>
  <si>
    <t>4160950401  Inscripciones</t>
  </si>
  <si>
    <t>4160950403  Carnetizacion</t>
  </si>
  <si>
    <t>4160950404  Derechos de grado y diplomas</t>
  </si>
  <si>
    <t>4160950405  Certificados y Constancias</t>
  </si>
  <si>
    <t>4160950406  Derechos de secretaria</t>
  </si>
  <si>
    <t>4160950408  Ventas libros y revistas facul</t>
  </si>
  <si>
    <t>4160950410  Estudios de laboratorio</t>
  </si>
  <si>
    <t>4160950412  Multas</t>
  </si>
  <si>
    <t>INGRESOS SERVICIOS UNIVERSITARIOS</t>
  </si>
  <si>
    <t>4160950201  Alimentación</t>
  </si>
  <si>
    <t>4160950202  Parqueaderos</t>
  </si>
  <si>
    <t>4160950203  Tienda Javeriana</t>
  </si>
  <si>
    <t>4160950207  Ingresos concesion</t>
  </si>
  <si>
    <t>DEVOLUCIONES</t>
  </si>
  <si>
    <t>GASTOS OPERACIONALES</t>
  </si>
  <si>
    <t>GASTOS DE PERSONAL</t>
  </si>
  <si>
    <t>510504  Auxilios</t>
  </si>
  <si>
    <t>510505  Prestaciones Sociales</t>
  </si>
  <si>
    <t>51050602  Sueldos de Hora Catedra</t>
  </si>
  <si>
    <t>510507  Plan de Beneficios Flexibles</t>
  </si>
  <si>
    <t>51051501  Horas extras y recargos</t>
  </si>
  <si>
    <t>51051801  Comisiones</t>
  </si>
  <si>
    <t>51052701  Auxilio de transporte</t>
  </si>
  <si>
    <t>51054201  Primas extralegales</t>
  </si>
  <si>
    <t>51054501  Funerarios</t>
  </si>
  <si>
    <t>51054801  Bonificaciones</t>
  </si>
  <si>
    <t>51055101  Dotaciones y sumin_ Trabajador</t>
  </si>
  <si>
    <t>51056601  Gastos deportivos y recreacion</t>
  </si>
  <si>
    <t>51058401  Gastos medicos y drogas</t>
  </si>
  <si>
    <t>510594  Salario Planta</t>
  </si>
  <si>
    <t>5105950101  Apoyo sostenimiento Sena</t>
  </si>
  <si>
    <t>5105950201  Celebraciones y obseq_Personal</t>
  </si>
  <si>
    <t>510596  Cargos Nuevos y Vacantes</t>
  </si>
  <si>
    <t>510597  Capacitación al personal</t>
  </si>
  <si>
    <t>HONORARIOS</t>
  </si>
  <si>
    <t>51101001  Revisoria fiscal</t>
  </si>
  <si>
    <t>51101501  Auditoria externa</t>
  </si>
  <si>
    <t>511085  Monitores</t>
  </si>
  <si>
    <t>5110950201  Auditoria Interna</t>
  </si>
  <si>
    <t>5110950301  Contratos Compania de Jesus</t>
  </si>
  <si>
    <t>5110951001  Costos de docencia-Hospitales</t>
  </si>
  <si>
    <t>511096  Otros Honorarios</t>
  </si>
  <si>
    <t>IMPUESTOS</t>
  </si>
  <si>
    <t>51150501  Industria y comercio</t>
  </si>
  <si>
    <t>51151501  A la propiedad raiz</t>
  </si>
  <si>
    <t>51154001  De vehiculos</t>
  </si>
  <si>
    <t>51159501  Gravamen movimientos financier</t>
  </si>
  <si>
    <t>ARRENDAMIENTOS</t>
  </si>
  <si>
    <t>512001  Arrendamientos</t>
  </si>
  <si>
    <t>CONTRIBUCIONES Y AFILIACIONES</t>
  </si>
  <si>
    <t>512596  Contribuciones y Afiliaciones</t>
  </si>
  <si>
    <t>SEGUROS</t>
  </si>
  <si>
    <t>51309503  Seguro medico</t>
  </si>
  <si>
    <t>51309504  Riesgos profesionales estudian</t>
  </si>
  <si>
    <t>513096  Seguros Varios</t>
  </si>
  <si>
    <t>SERVICIOS</t>
  </si>
  <si>
    <t>51350501  Aseo</t>
  </si>
  <si>
    <t>51350502  Vigilancia</t>
  </si>
  <si>
    <t>51351001  Temporales</t>
  </si>
  <si>
    <t>51352501  Acueducto y alcantarillado</t>
  </si>
  <si>
    <t>51353001  Energia electrica</t>
  </si>
  <si>
    <t>51353501  Telefono</t>
  </si>
  <si>
    <t>51355501  Gas</t>
  </si>
  <si>
    <t>51356001  Publicidad pregrado</t>
  </si>
  <si>
    <t>51356002  Publicidad posgrado</t>
  </si>
  <si>
    <t>51356003  Publicidad institucional</t>
  </si>
  <si>
    <t>51356004  Publicidad educacion continua</t>
  </si>
  <si>
    <t>513599  Otros Servicios</t>
  </si>
  <si>
    <t>GASTOS LEGALES</t>
  </si>
  <si>
    <t>514096  Gastos Legales</t>
  </si>
  <si>
    <t>MANTENIMIENTO Y REPARACIONES</t>
  </si>
  <si>
    <t>514596  Mantenimiento y Reparaciones</t>
  </si>
  <si>
    <t>ADECUACION E INSTALACION</t>
  </si>
  <si>
    <t>515096  Adecuacion e Instalacion</t>
  </si>
  <si>
    <t>GASTOS DE VIAJE</t>
  </si>
  <si>
    <t>515596  Gastos de Viaje</t>
  </si>
  <si>
    <t>DEPRECIACIONES</t>
  </si>
  <si>
    <t>516096  Depreciaciones</t>
  </si>
  <si>
    <t>AMORTIZACIONES</t>
  </si>
  <si>
    <t>516598  Licencias Temporales</t>
  </si>
  <si>
    <t>DIVERSOS</t>
  </si>
  <si>
    <t>519594  Otros</t>
  </si>
  <si>
    <t>51959596  Otros Gastos Academicos</t>
  </si>
  <si>
    <t>519596  Becas</t>
  </si>
  <si>
    <t>519597  Impresos y Publicaciones</t>
  </si>
  <si>
    <t>519598  Libros, Periodicos y Revistas</t>
  </si>
  <si>
    <t>PROVISIONES</t>
  </si>
  <si>
    <t>519996  Provisiones</t>
  </si>
  <si>
    <t>COSTO DE VENTAS</t>
  </si>
  <si>
    <t>616096  Inventario Tienda Javeriana</t>
  </si>
  <si>
    <t>616097  Inventario cafeterias</t>
  </si>
  <si>
    <t>INGRESOS NO OPERACIONALES</t>
  </si>
  <si>
    <t>INGRESOS (FINANCIEROS)</t>
  </si>
  <si>
    <t>421096  Ingresos Financieros</t>
  </si>
  <si>
    <t>421097  Ingresos Financieros Intereses</t>
  </si>
  <si>
    <t>INGRESOS (NO FINANCIEROS)</t>
  </si>
  <si>
    <t>42050501  Venta de lacteos</t>
  </si>
  <si>
    <t>42050502  Venta de ganado</t>
  </si>
  <si>
    <t>42201001  Construcciones y edificios</t>
  </si>
  <si>
    <t>42959501  Donaciones</t>
  </si>
  <si>
    <t>GASTOS NO OPERACIONALES</t>
  </si>
  <si>
    <t>GASTOS DIVERSOS</t>
  </si>
  <si>
    <t>539596  Diversos</t>
  </si>
  <si>
    <t>GASTOS EXTRAORDINARIOS</t>
  </si>
  <si>
    <t>531596  Gastos Extraordinarios</t>
  </si>
  <si>
    <t>GASTOS FINANCIEROS</t>
  </si>
  <si>
    <t>530501  Gastos Financieros</t>
  </si>
  <si>
    <t>Resultado operacional</t>
  </si>
  <si>
    <t>Resultado no operacional</t>
  </si>
  <si>
    <t>Total Resultado</t>
  </si>
  <si>
    <t>PONTIFICIA UNIVERSIDAD JAVERIANA</t>
  </si>
  <si>
    <t>Cifras  en millones de pesos</t>
  </si>
  <si>
    <t>EBITDA</t>
  </si>
  <si>
    <t>RECURSOS ESTIMADOS</t>
  </si>
  <si>
    <t>ASIGNACIÓN ESTIMADA DE RECURSOS</t>
  </si>
  <si>
    <t>150896Construcciones en Curso</t>
  </si>
  <si>
    <t>152096Maquinaria y equipo</t>
  </si>
  <si>
    <t>152401Equipo de Oficina</t>
  </si>
  <si>
    <t>152801Equipos de computacion y comun</t>
  </si>
  <si>
    <t>153296Equipo Medico - Cientifico</t>
  </si>
  <si>
    <t>17100100Inversiones software</t>
  </si>
  <si>
    <t>INFORMACIÓN POR PROYECTOS</t>
  </si>
  <si>
    <t>PROGRAMA</t>
  </si>
  <si>
    <t>% Incremento</t>
  </si>
  <si>
    <t>DISEÑO INDUSTRIAL</t>
  </si>
  <si>
    <t>BACTERIOLOGÍA</t>
  </si>
  <si>
    <t>BIOLOGÍA</t>
  </si>
  <si>
    <t>NUTRICIÓN Y DIETÉTICA</t>
  </si>
  <si>
    <t>MICROBIOLOGÍA INDUSTRIAL</t>
  </si>
  <si>
    <t>MICROBIOLOGÍA AGRÍCOLA Y VETERINARIA</t>
  </si>
  <si>
    <t>MATEMÁTICAS</t>
  </si>
  <si>
    <t>ADMINISTRACIÓN DE EMPRESAS DIURNA</t>
  </si>
  <si>
    <t>ECONOMÍA</t>
  </si>
  <si>
    <t>CONTADURÍA PUBLICA NOCTURNO</t>
  </si>
  <si>
    <t>CONTADURÍA PUBLICA DIURNA</t>
  </si>
  <si>
    <t>COMUNICACIÓN SOCIAL</t>
  </si>
  <si>
    <t>LICENCIATURA EN LENGUAS MODERNAS</t>
  </si>
  <si>
    <t>DERECHO</t>
  </si>
  <si>
    <t>ENFERMERÍA</t>
  </si>
  <si>
    <t>ESTUDIOS MUSICALES</t>
  </si>
  <si>
    <t>ARTES VISUALES</t>
  </si>
  <si>
    <t>ARTES ESCÉNICAS</t>
  </si>
  <si>
    <t>HISTORIA</t>
  </si>
  <si>
    <t>ESTUDIOS LITERARIOS</t>
  </si>
  <si>
    <t>ANTROPOLOGÍA</t>
  </si>
  <si>
    <t>SOCIOLOGÍA</t>
  </si>
  <si>
    <t>FILOSOFÍA</t>
  </si>
  <si>
    <t>LICENCIATURA EN FILOSOFÍA</t>
  </si>
  <si>
    <t>INGENIERÍA CIVIL</t>
  </si>
  <si>
    <t>INGENIERÍA ELECTRÓNICA</t>
  </si>
  <si>
    <t>INGENIERÍA INDUSTRIAL</t>
  </si>
  <si>
    <t>INGENIERÍA DE SISTEMAS</t>
  </si>
  <si>
    <t>MEDICINA</t>
  </si>
  <si>
    <t>PSICOLOGÍA</t>
  </si>
  <si>
    <t>ODONTOLOGIA</t>
  </si>
  <si>
    <t>CIENCIAS POLÍTICAS Y RELACIONES INTERNACIONALES</t>
  </si>
  <si>
    <t>RELACIONES INTERNACIONALES</t>
  </si>
  <si>
    <t>ECOLOGÍA</t>
  </si>
  <si>
    <t>TEOLOGÍA</t>
  </si>
  <si>
    <t>LICENCIATURA EN TEOLOGÍA</t>
  </si>
  <si>
    <t>LICENCIATURA EN CIENCIAS RELIGIOSAS A DISTANCIA</t>
  </si>
  <si>
    <t>LICENCIATURA EN CIENCIAS RELIGIOSAS</t>
  </si>
  <si>
    <t>FACULTAD DE EDUCACIÓN</t>
  </si>
  <si>
    <t>LICENCIATURA EN PEDAGOGÍA INFANTIL</t>
  </si>
  <si>
    <t>LICENCIATURA EN EDUCACIÓN BÁSICA CON ÉNFASIS EN HUMANIDADES Y LENGUA CASTELLANA</t>
  </si>
  <si>
    <t>Valor Matrícula 2016</t>
  </si>
  <si>
    <t>dic-17 </t>
  </si>
  <si>
    <t>Nota: Debido a que hay estudiantes que pagan media matrícula, el  ingreso total estimado por matrículas y para cada periodo no es igual a la multiplicación del número de estudiantes por el valor de la matrícula</t>
  </si>
  <si>
    <t>MAESTRÍA EN PATRIMONIO CULTURAL Y TERRITORIO</t>
  </si>
  <si>
    <t>MAESTRÍA EN PLANEACIÓN URBANA Y REGIONAL</t>
  </si>
  <si>
    <t>ESPECIALIZACIÓN EN DISEÑO Y GERENCIA DE PRODUCTO PARA LA EXPORTACIÓN</t>
  </si>
  <si>
    <t>ESPECIALIZACIÓN EN ANÁLISIS QUÍMICO INSTRUMENTAL</t>
  </si>
  <si>
    <t>MAESTRÍA EN CIENCIAS BIOLÓGICAS</t>
  </si>
  <si>
    <t>DOCTORADO EN CIENCIAS BIOLÓGICAS</t>
  </si>
  <si>
    <t>MAESTRÍA EN FÍSICA MÉDICA</t>
  </si>
  <si>
    <t>INSTITUTO DE BIOÉTICA</t>
  </si>
  <si>
    <t>ESPECIALIZACIÓN EN BIOÉTICA</t>
  </si>
  <si>
    <t>MAESTRÍA EN BIOÉTICA</t>
  </si>
  <si>
    <t>ESPECIALIZACIÓN EN ECONOMÍA PARA NO ECONOMISTAS</t>
  </si>
  <si>
    <t>MAESTRÍA EN ADMINISTRACIÓN DE SALUD</t>
  </si>
  <si>
    <t xml:space="preserve">ESPECIALIZACIÓN EN GERENCIA HOSPITALARIA </t>
  </si>
  <si>
    <t>ESPECIALIZACIÓN EN GERENCIA DE LA CALIDAD DE LOS SERVICIOS DE SALUD</t>
  </si>
  <si>
    <t>ESPECIALIZACIÓN EN GERENCIA FINANCIERA</t>
  </si>
  <si>
    <t>ESPECIALIZACIÓN EN GERENCIA DEL TALENTO HUMANO - PEREIRA</t>
  </si>
  <si>
    <t>ESPECIALIZACIÓN EN GERENCIA DE MERCADEO</t>
  </si>
  <si>
    <t>ESPECIALIZACIÓN EN GERENCIA INTERNACIONAL</t>
  </si>
  <si>
    <t>ESPECIALIZACIÓN EN GESTIÓN TECNOLÓGICA</t>
  </si>
  <si>
    <t>ESPECIALIZACIÓN EN REVISORÍA FISCAL</t>
  </si>
  <si>
    <t>ESPECIALIZACIÓN EN CONTABILIDAD FINANCIERA INTERNACIONAL - PEREIRA</t>
  </si>
  <si>
    <t>ESPECIALIZACIÓN EN CONTABILIDAD FINANCIERA INTERNACIONAL - BARRANQUILLA</t>
  </si>
  <si>
    <t>ESPECIALIZACIÓN EN CONTABILIDAD GERENCIAL</t>
  </si>
  <si>
    <t>ESPECIALIZACIÓN EN ASEGURAMIENTO Y CONTROL INTERNO</t>
  </si>
  <si>
    <t>MAESTRÍA EN GESTIÓN AMBIENTAL PARA DESARROLLO SOSTENIBLE</t>
  </si>
  <si>
    <t>MAESTRÍA EN DESARROLLO RURAL</t>
  </si>
  <si>
    <t>DOCTORADO EN ESTUDIOS AMBIENTALES Y RURALES</t>
  </si>
  <si>
    <t>ESPECIALIZACIÓN EN GESTIÓN DE EMPRESAS DEL SECTOR SOLIDARIO</t>
  </si>
  <si>
    <t>MAESTRÍA EN CONSERVACIÓN Y USO DE BIODIVERSIDAD</t>
  </si>
  <si>
    <t>MAESTRÍA EN COMUNICACIÓN</t>
  </si>
  <si>
    <t>ESPECIALIZACIÓN EN TELEVISIÓN</t>
  </si>
  <si>
    <t>ESPECIALIZACIÓN EN COMUNICACIÓN ORGANIZACIONAL</t>
  </si>
  <si>
    <t>MAESTRÍA EN LINGÜÍSTICA APLICADA DEL ESPAÑOL COMO LENGUA EXTRANJERA</t>
  </si>
  <si>
    <t>DOCTORADO EN CIENCIAS JURÍDICAS</t>
  </si>
  <si>
    <t>MAESTRÍA EN DERECHO DE SEGUROS</t>
  </si>
  <si>
    <t>MAESTRÍA EN DERECHO ECONÓMICO</t>
  </si>
  <si>
    <t>MAESTRÍA EN DERECHO CONSTITUCIONAL</t>
  </si>
  <si>
    <t>MAESTRÍA EN DERECHO ADMINISTRATIVO</t>
  </si>
  <si>
    <t>ESPECIALIZACIÓN EN DERECHO TRIBUTARIO</t>
  </si>
  <si>
    <t>ESPECIALIZACIÓN EN DERECHO LABORAL</t>
  </si>
  <si>
    <t>ESPECIALIZACIÓN EN DERECHO DEL MERCADO DE CAPITALES</t>
  </si>
  <si>
    <t>ESPECIALIZACIÓN EN DERECHO DE LA COMPETENCIA Y DEL LIBRE COMERCIO</t>
  </si>
  <si>
    <t>ESPECIALIZACIÓN EN DERECHO COMERCIAL</t>
  </si>
  <si>
    <t>ESPECIALIZACIÓN EN DERECHO DE SEGUROS</t>
  </si>
  <si>
    <t>ESPECIALIZACIÓN EN DERECHO DE FAMILIA</t>
  </si>
  <si>
    <t>ESPECIALIZACIÓN EN DERECHO URBANÍSTICO</t>
  </si>
  <si>
    <t>ESPECIALIZACIÓN EN DERECHO DE SEGUROS - MEDELLÍN</t>
  </si>
  <si>
    <t>ESPECIALIZACIÓN EN DERECHO DE LA SEGURIDAD SOCIAL</t>
  </si>
  <si>
    <t>ESPECIALIZACIÓN EN DERECHO DE SOCIEDADES</t>
  </si>
  <si>
    <t>ESPECIALIZACIÓN EN DERECHO ADMINISTRATIVO</t>
  </si>
  <si>
    <t>ESPECIALIZACIÓN EN ENFERMERÍA PEDIÁTRICA</t>
  </si>
  <si>
    <t>ESPECIALIZACIÓN EN ENFERMERÍA ONCOLÓGICA</t>
  </si>
  <si>
    <t>ESPECIALIZACIÓN EN SALUD OCUPACIONAL</t>
  </si>
  <si>
    <t>MAESTRÍA EN CUIDADO DE ENFERMERÍA AL ADULTO MAYOR</t>
  </si>
  <si>
    <t>MAESTRÍA EN ENFERMERÍA EN CUIDADO CRITICO</t>
  </si>
  <si>
    <t>MAESTRÍA EN ENFERMERÍA EN CUIDADO PALIATIVO</t>
  </si>
  <si>
    <t>MAESTRÍA EN ENFERMERÍA ONCOLÓGICA</t>
  </si>
  <si>
    <t>ESPECIALIZACIÓN EN DIRECCIÓN DE COROS INFANTILES Y JUVENILES</t>
  </si>
  <si>
    <t>MAESTRÍA EN MÚSICA</t>
  </si>
  <si>
    <t>MAESTRÍA EN CREACIÓN AUDIOVISUAL</t>
  </si>
  <si>
    <t>MAESTRÍA EN LITERATURA</t>
  </si>
  <si>
    <t>MAESTRÍA EN HISTORIA</t>
  </si>
  <si>
    <t>MAESTRÍA EN ESTUDIOS CULTURALES</t>
  </si>
  <si>
    <t>DOCTORADO EN CIENCIAS SOCIALES Y HUMANAS</t>
  </si>
  <si>
    <t>MAESTRÍA EN FILOSOFÍA</t>
  </si>
  <si>
    <t>DOCTORADO EN FILOSOFÍA</t>
  </si>
  <si>
    <t>ESPECIALIZACIÓN EN GERENCIA DE CONSTRUCCIONES</t>
  </si>
  <si>
    <t>ESPECIALIZACIÓN EN SISTEMAS GERENCIALES DE INGENIERÍA</t>
  </si>
  <si>
    <t>ESPECIALIZACIÓN EN ARQUITECTURA EMPRESARIAL DE SOFTWARE</t>
  </si>
  <si>
    <t>MAESTRÍA EN HIDROSISTEMAS</t>
  </si>
  <si>
    <t>MAESTRÍA EN INGENIERÍA INDUSTRIAL</t>
  </si>
  <si>
    <t>DOCTORADO EN INGENIERÍA</t>
  </si>
  <si>
    <t>MAESTRÍA EN INGENIERÍA DE SISTEMAS Y COMPUTACIÓN</t>
  </si>
  <si>
    <t>ESPECIALIZACIÓN EN NEFROLOGÍA</t>
  </si>
  <si>
    <t>ESPECIALIZACIÓN EN GASTROENTEROLOGÍA Y ENDOSCOPIA DIGESTIVA</t>
  </si>
  <si>
    <t>ESPECIALIZACIÓN EN NEUROLOGÍA</t>
  </si>
  <si>
    <t>ESPECIALIZACIÓN EN NEUROCIRUGÍA</t>
  </si>
  <si>
    <t>MAESTRÍA EN BIOESTADÍSTICA</t>
  </si>
  <si>
    <t>ESPECIALIZACIÓN EN PATOLOGÍA</t>
  </si>
  <si>
    <t>ESPECIALIZACIÓN EN MEDICINA INTERNA</t>
  </si>
  <si>
    <t>ESPECIALIZACIÓN EN PSIQUIATRÍA GENERAL</t>
  </si>
  <si>
    <t>ESPECIALIZACIÓN EN PSIQUIATRÍA DE ENLACE</t>
  </si>
  <si>
    <t>ESPECIALIZACIÓN EN PSIQUIATRÍA DE NIÑOS Y ADOLESCENTES</t>
  </si>
  <si>
    <t>ESPECIALIZACIÓN EN PEDIATRÍA</t>
  </si>
  <si>
    <t>ESPECIALIZACIÓN EN GINECOLOGÍA Y OBSTETRICIA</t>
  </si>
  <si>
    <t>ESPECIALIZACIÓN EN CIRUGÍA GENERAL</t>
  </si>
  <si>
    <t>ESPECIALIZACIÓN EN ANESTESIOLOGÍA</t>
  </si>
  <si>
    <t>ESPECIALIZACIÓN EN NEUMOLOGÍA</t>
  </si>
  <si>
    <t>ESPECIALIZACIÓN EN OFTALMOLOGÍA</t>
  </si>
  <si>
    <t>ESPECIALIZACIÓN EN ORTOPEDIA Y TRAUMATOLOGÍA</t>
  </si>
  <si>
    <t>ESPECIALIZACIÓN EN CIRUGÍA CARDIOVASCULAR</t>
  </si>
  <si>
    <t>ESPECIALIZACIÓN EN OTORRINOLARINGOLOGÍA</t>
  </si>
  <si>
    <t>ESPECIALIZACIÓN EN RADIOLOGÍA</t>
  </si>
  <si>
    <t>ESPECIALIZACIÓN EN UROLOGÍA</t>
  </si>
  <si>
    <t>ESPECIALIZACIÓN EN ENDOCRINOLOGÍA</t>
  </si>
  <si>
    <t>ESPECIALIZACIÓN EN CARDIOLOGÍA</t>
  </si>
  <si>
    <t>ESPECIALIZACIÓN EN ORTOPEDIA INFANTIL</t>
  </si>
  <si>
    <t>ESPECIALIZACIÓN EN MEDICINA FAMILIAR</t>
  </si>
  <si>
    <t>ESPECIALIZACIÓN EN CIRUGÍA PLÁSTICA</t>
  </si>
  <si>
    <t>ESPECIALIZACIÓN EN HEMODINAMIA Y CARDIOLOGÍA INTERVENCIONISTA</t>
  </si>
  <si>
    <t>ESPECIALIZACIÓN EN MEDICINA DE URGENCIAS</t>
  </si>
  <si>
    <t>ESPECIALIZACIÓN EN GERIATRÍA</t>
  </si>
  <si>
    <t>ESPECIALIZACIÓN EN TERAPIA SISTÉMICA</t>
  </si>
  <si>
    <t>MAESTRÍA EN PSICOLOGÍA CLÍNICA</t>
  </si>
  <si>
    <t>ESPECIALIZACIÓN EN ENDODONCIA</t>
  </si>
  <si>
    <t>ESPECIALIZACIÓN EN PATOLOGÍA Y CIRUGÍA BUCAL</t>
  </si>
  <si>
    <t>ESPECIALIZACIÓN EN ORTODONCIA</t>
  </si>
  <si>
    <t>ESPECIALIZACIÓN EN PERIODONCIA</t>
  </si>
  <si>
    <t>ESPECIALIZACIÓN EN REHABILITACIÓN ORAL</t>
  </si>
  <si>
    <t>ESPECIALIZACIÓN EN ODONTOPEDIATRIA</t>
  </si>
  <si>
    <t>ESPECIALIZACIÓN EN CIRUGÍA MAXILOFACIAL</t>
  </si>
  <si>
    <t>MAESTRÍA EN DERECHO CANÓNICO</t>
  </si>
  <si>
    <t>DOCTORADO EN DERECHO CANÓNICO</t>
  </si>
  <si>
    <t>MAESTRÍA EN POLÍTICA SOCIAL</t>
  </si>
  <si>
    <t>ESPECIALIZACIÓN EN RESOLUCIÓN DE CONFLICTOS</t>
  </si>
  <si>
    <t>MAESTRÍA EN ESTUDIOS LATINOAMERICANOS</t>
  </si>
  <si>
    <t>MAESTRÍA EN ESTUDIOS DE PAZ Y RESOLUCIÓN DE CONFLICTOS</t>
  </si>
  <si>
    <t>MAESTRÍA EN TEOLOGÍA</t>
  </si>
  <si>
    <t>DOCTORADO EN TEOLOGÍA</t>
  </si>
  <si>
    <t>MAESTRÍA EN EDUCACIÓN</t>
  </si>
  <si>
    <t>INSCRIPCIONES</t>
  </si>
  <si>
    <t>CARNE</t>
  </si>
  <si>
    <t>OTROS</t>
  </si>
  <si>
    <t>OTROS CONCEPTOS</t>
  </si>
  <si>
    <t>Tarifa 2016</t>
  </si>
  <si>
    <t>Alquiler lockers Arquitectura</t>
  </si>
  <si>
    <t xml:space="preserve">Carné (duplicado) </t>
  </si>
  <si>
    <t>Certificación de planes de estudio y programas de asignaturas</t>
  </si>
  <si>
    <t>Certificaciones, constancias y copias actas de grado</t>
  </si>
  <si>
    <t>Traducción de diplomas del latín</t>
  </si>
  <si>
    <t>Derechos de grado</t>
  </si>
  <si>
    <t xml:space="preserve">Derechos de Inscripción Pregrado y Posgrado (Excepto MBA) </t>
  </si>
  <si>
    <t>Derechos de Inscripción Maestría en Administración (MBA)</t>
  </si>
  <si>
    <t>Diploma de grado (original o copia) en español o en latín</t>
  </si>
  <si>
    <t>Evaluación supletoria</t>
  </si>
  <si>
    <t>Instituto de Bioética Servicio de cursos especiales (tutoriales) para estudiantes de la Universidad</t>
  </si>
  <si>
    <t>Preparatorio (repetición de examen o primer examen preparatorio de estudiante que incumplió)</t>
  </si>
  <si>
    <t>Publicación de tesis Facultad de Ciencias Jurídicas</t>
  </si>
  <si>
    <t>Examen de Clasificación en lengua extranjera por segunda vez</t>
  </si>
  <si>
    <t>Reemplazo supervisión Psicología</t>
  </si>
  <si>
    <t>Validación de asignaturas</t>
  </si>
  <si>
    <t>OTROS CONCEPTOS ESTUDIANTES A DISTANCIA</t>
  </si>
  <si>
    <t>Inscripción</t>
  </si>
  <si>
    <t xml:space="preserve">Derechos de grados </t>
  </si>
  <si>
    <t>Posicionamiento regional de la Escuela Javeriana de Gobierno y Ética Pública</t>
  </si>
  <si>
    <r>
      <t xml:space="preserve">Convocatorias de incidencia y proyección social  para proyectos relacionados con los temas contenidos en la encíclica </t>
    </r>
    <r>
      <rPr>
        <i/>
        <sz val="12"/>
        <color theme="1"/>
        <rFont val="Calibri"/>
        <family val="2"/>
        <scheme val="minor"/>
      </rPr>
      <t>Laudato si’</t>
    </r>
  </si>
  <si>
    <t>Plan de nivelación salarial Centros de la Vicerrectoría del Medio Universitario</t>
  </si>
  <si>
    <t>Centro Javeriano de Formación Deportiva: Reemplazo y actualización de equipos de ejercicios físicos</t>
  </si>
  <si>
    <t>Sistema Bolsa de Empleo Dirección de Egresados.</t>
  </si>
  <si>
    <t xml:space="preserve">Descuento del 50% en la matrícula a  estudiantes en práctica en el exterior </t>
  </si>
  <si>
    <t>Eventos internacionales de la Escuela Javeriana de Gobierno y Ética Pública</t>
  </si>
  <si>
    <r>
      <t>Actividades</t>
    </r>
    <r>
      <rPr>
        <sz val="12"/>
        <color rgb="FF000000"/>
        <rFont val="Calibri"/>
        <family val="2"/>
        <scheme val="minor"/>
      </rPr>
      <t xml:space="preserve"> de innovación</t>
    </r>
  </si>
  <si>
    <t>Servicio de Atención Integral a Estudiantes Javerianos - ENLACE</t>
  </si>
  <si>
    <t>Creación de Nuevos Programas Académicos</t>
  </si>
  <si>
    <t>Procesos de Registro Calificado (37 programas)</t>
  </si>
  <si>
    <t>Valor total del proyecto para 2017 (millones de pesos)</t>
  </si>
  <si>
    <t>Proyecto Javeriana X (Virtualización de cursos de Educación Continua)</t>
  </si>
  <si>
    <t>Actividades "Alianza Universidad Empresa"</t>
  </si>
  <si>
    <t>Programa de Mentorías para egresados</t>
  </si>
  <si>
    <t>Apoyo a empleados para estudios de pregrado y posgrado</t>
  </si>
  <si>
    <t>Obras exteriores y de Espacio Público para Edificio de la Facultad de Ciencias Económicas y Administrativas</t>
  </si>
  <si>
    <t>Remodelación de edificios e instalaciones: Edificio Emilio Arango,  Instituto de Salud Pública y Facultad de Ciencias Políticas</t>
  </si>
  <si>
    <t>Renovación y dotación de muebles de la sala de música y sala de mercados capitales y sala de audiovisuales de la Biblioteca Alfonso Borrero Cabal, S.J.</t>
  </si>
  <si>
    <t>Segunda etapa de remodelación de la Cafetería Central de la Universidad y ampliación de servicios de otras cafeterías</t>
  </si>
  <si>
    <t>Remodelación y reforzamiento estructural del Edificio Rafael Arboleda</t>
  </si>
  <si>
    <t>Reubicación del Consultorio Jurídico y Asesores en Psicología, en Casa Galán</t>
  </si>
  <si>
    <t>Proyecto de Arquitectura de Seguridad Perimetral: Aseguramiento de plataformas LMS</t>
  </si>
  <si>
    <t>Fortaleciiento de la red inalámbrica del campus</t>
  </si>
  <si>
    <t xml:space="preserve">Fortalecimiento de la infraestructura tecnológica que soporta los sistemas de información académicos y administrativos de la Universidad </t>
  </si>
  <si>
    <t>Actualización de los equipos centrales de la red del Centro de Cómputo de la Universidad</t>
  </si>
  <si>
    <t>Mejoramiento de salas de cómputo de la Universidad (renovación de salas móviles y nuevas RAM en salas fijas)</t>
  </si>
  <si>
    <t xml:space="preserve">Desarrollo, acompañamiento y apoyo en divulgación de los proyectos de presupuesto social, incluidos en el proceso de regionalización de la Compañía de Jesús </t>
  </si>
  <si>
    <t>Coordinación y fortalecimiento de la presencia de la PUJ en la región Amazónica Colombiana, desde el “Programa PUJ Amazonía Colombiana” en articulación con la de la CPAL (Conferencia de Provinciales Jesuitas en América Latina)</t>
  </si>
  <si>
    <t xml:space="preserve">Trabajo con programas institucionales de proyección social de las Facultades de Ciencias de la Salud, en cabeza de la Facultad de Enfermería; la Facultad de Ingeniería (Programa PROSOFI) y la Facultad de Ciencias Jurídicas </t>
  </si>
  <si>
    <t>Procesos de Acreditación de Programas de Posgrado (47 programas)</t>
  </si>
  <si>
    <t>Incremento</t>
  </si>
  <si>
    <t>Tarifa 2017</t>
  </si>
  <si>
    <t>Derechos de grado - Seminaristas Venezuela</t>
  </si>
  <si>
    <t>PRESUPUESTO APROBADO 2017</t>
  </si>
  <si>
    <t>7 de Diciembre de 2016</t>
  </si>
  <si>
    <t>+P_41702501_Activid de Radio y Television</t>
  </si>
  <si>
    <t>P_51055401_Seguros</t>
  </si>
  <si>
    <t>P_51056001_Indemnizaciones Laborales</t>
  </si>
  <si>
    <t>P_51102001_Avaluos</t>
  </si>
  <si>
    <t>Aprobado 2017</t>
  </si>
  <si>
    <t>-P_4250_Recuperaciones</t>
  </si>
  <si>
    <t>Resultado Financiero</t>
  </si>
  <si>
    <t>Resutado no Financiero</t>
  </si>
  <si>
    <t>Total Resultado no Operacional</t>
  </si>
  <si>
    <t>PROPUESTA DE RECURSOS PARA INVERSIONES 2017</t>
  </si>
  <si>
    <t>Cifras en pesos</t>
  </si>
  <si>
    <t>IFC</t>
  </si>
  <si>
    <t>Valor Solicitado</t>
  </si>
  <si>
    <t>153601_Equipos De Hoteles Y Restauran</t>
  </si>
  <si>
    <t>154001_Flota Y Equipo De Transporte</t>
  </si>
  <si>
    <t>% Eje Estimada</t>
  </si>
  <si>
    <t>Ejecuciones históricas</t>
  </si>
  <si>
    <t>2016 estimada</t>
  </si>
  <si>
    <t>a Dic 9/2016 va en 84% ejecutado + comprometido</t>
  </si>
  <si>
    <t>Inversiones solicitadas 2017</t>
  </si>
  <si>
    <t>% Segunda Fecha de Pago</t>
  </si>
  <si>
    <t xml:space="preserve">Valor Segunda Fecha de Pago </t>
  </si>
  <si>
    <t>% Tercera Fecha de Pago</t>
  </si>
  <si>
    <t xml:space="preserve">Valor Tercera Fecha de Pago </t>
  </si>
  <si>
    <t>ARQUITECTURA (Segunda Cohorte)</t>
  </si>
  <si>
    <t>ARQUITECTURA (Primera Cohorte)</t>
  </si>
  <si>
    <t>ADMINISTRACIÓN DE EMPRESAS NOCTURNA (Tercera Cohorte)</t>
  </si>
  <si>
    <t>ADMINISTRACIÓN DE EMPRESAS NOCTURNA (Segunda Cohorte)</t>
  </si>
  <si>
    <t>ADMINISTRACIÓN DE EMPRESAS NOCTURNA (Primera Cohorte)</t>
  </si>
  <si>
    <t>CIENCIA DE LA INFORMACIÓN - BIBLIOTECOLOGÍA (Segunda Cohorte)</t>
  </si>
  <si>
    <t>CIENCIA DE LA INFORMACIÓN - BIBLIOTECOLOGÍA (Primera Cohorte)</t>
  </si>
  <si>
    <t xml:space="preserve">CIENCIA DE LA INFORMACIÓN - BIBLIOTECOLOGÍA (Segunda Cohorte)  (Nocturna) </t>
  </si>
  <si>
    <t xml:space="preserve">CIENCIA DE LA INFORMACIÓN - BIBLIOTECOLOGÍA (Primera Cohorte) (Nocturna) </t>
  </si>
  <si>
    <t>MAESTRÍA EN DISEÑO PARA LA INNOVACIÓN DE PRODUCTOS Y SERVICIOS</t>
  </si>
  <si>
    <t>ESPECIALIZACIÓN EN HEMATOLOGÍA EN EL LABORATORIO CLÍNICO Y MANEJO DEL BANCO DE SANGRE</t>
  </si>
  <si>
    <t>ESPECIALIZACIÓN EN MICROBIOLOGÍA MÉDICA</t>
  </si>
  <si>
    <t>ESPECIALIZACIÓN EN ADMINISTRACIÓN DE SALUD: ÉNFASIS EN SEGURIDAD SOCIAL</t>
  </si>
  <si>
    <t>ESPECIALIZACIÓN EN CONTABILIDAD FINANCIERA INTERNACIONAL - BOGOTA</t>
  </si>
  <si>
    <t>ESPECIALIZACIÓN EN GERENCIA DEL TALENTO HUMANO - (Primera Cohorte)</t>
  </si>
  <si>
    <t>ESPECIALIZACIÓN EN GERENCIA DEL TALENTO HUMANO - (Segunda Cohorte)</t>
  </si>
  <si>
    <t>MAESTRÍA EN ADMINISTRACIÓN - (Primera Cohorte)</t>
  </si>
  <si>
    <t>MAESTRÍA EN ADMINISTRACIÓN - (Segunda Cohorte)</t>
  </si>
  <si>
    <t>MAESTRÍA EN ADMINISTRACIÓN - (Tercera Cohorte)</t>
  </si>
  <si>
    <t>MAESTRÍA EN ADMINISTRACIÓN EJECUTIVA</t>
  </si>
  <si>
    <t>MAESTRÍA EN ECONOMÍA (Primera Cohorte)</t>
  </si>
  <si>
    <t>MAESTRÍA EN ECONOMÍA (Segunda Cohorte)</t>
  </si>
  <si>
    <t>MAESTRÍA EN ECONOMÍA DE LA SALUD</t>
  </si>
  <si>
    <t>MAESTRÍA EN GERENCIA DE LA RESPONSABILIDAD SOCIAL Y SOSTENIBILIDAD EMPRESARIAL</t>
  </si>
  <si>
    <t>MAESTRÍA EN ARCHIVÍSTICA HISTÓRICA Y MEMORIA</t>
  </si>
  <si>
    <t>ESPECIALIZACIÓN EN DERECHO MÉDICO</t>
  </si>
  <si>
    <t>ESPECIALIZACIÓN EN DERECHO SUSTANTIVO Y CONTENCIOSO CONSTITUCIONAL</t>
  </si>
  <si>
    <t>ESPECIALIZACIÓN EN CUIDADO RESPIRATORIO</t>
  </si>
  <si>
    <t>ESPECIALIZACIÓN EN ENFERMERÍA EN CUIDADO CRÍTICO</t>
  </si>
  <si>
    <t>MAESTRÍA EN SEGURIDAD Y SALUD EN EL TRABAJO</t>
  </si>
  <si>
    <t>ESPECIALIZACIÓN EN GEOTECNIA VIAL Y PAVIMENTOS</t>
  </si>
  <si>
    <t>ESPECIALIZACIÓN EN INGENIERÍA DE OPERACIONES EN MANUFACTURA Y SERVICIOS</t>
  </si>
  <si>
    <t>ESPECIALIZACIÓN EN TECNOLOGÍA DE LA CONSTRUCCIÓN EN EDIFICACIONES</t>
  </si>
  <si>
    <t>MAESTRÍA EN ANALITICA PARA LA INTELIGENCIA DE LOS NEGOCIOS</t>
  </si>
  <si>
    <t>MAESTRÍA EN BIOINGENIERÍA</t>
  </si>
  <si>
    <t>MAESTRÍA EN INGENIERÍA CIVIL</t>
  </si>
  <si>
    <t>MAESTRÍA EN INGENIERÍA ELECTRÓNICA</t>
  </si>
  <si>
    <t>DOCTORADO EN EPIDEMIOLOGíA CLÍNICA</t>
  </si>
  <si>
    <t>ESPECIALIZACIÓN EN ELECTROFISIOLOGÍA CLÍNICA, ESTIMULACIÓN Y ARRITMIAS CARDIÁCAS</t>
  </si>
  <si>
    <t>ESPECIALIZACIÓN EN GENÉTICA MÉDICA</t>
  </si>
  <si>
    <t>ESPECIALIZACIÓN EN MEDICINA CRÍTICA Y CUIDADO INTENSIVO</t>
  </si>
  <si>
    <t>MAESTRÍA EN EPIDEMIOLOGíA CLÍNICA</t>
  </si>
  <si>
    <t>ESPECIALIZACIÓN EN DERMATOLOGÍA</t>
  </si>
  <si>
    <t>ESPECIALIZACIÓN EN GOBIERNO Y GESTIÓN PÚBLICA TERRITORIALES</t>
  </si>
  <si>
    <t>ESPECIALIZACIÓN EN GOBIERNO Y GESTIÓN PÚBLICA TERRITORIALES - BARRANQUILLA</t>
  </si>
  <si>
    <t>ESPECIALIZACIÓN EN OPINIÓN PÚBLICA Y MERCADEO POLÍTICO</t>
  </si>
  <si>
    <t>MAESTRÍA EN ESTUDIOS POLÍTICOS</t>
  </si>
  <si>
    <t>MAESTRÍA EN GOBIERNO DEL TERRITORIO Y GESTIÓN PÚBLICA</t>
  </si>
  <si>
    <t>MAESTRÍA EN RELACIONES INTERNACIONALES</t>
  </si>
  <si>
    <t>INSTITUTO DE SALUD PÚBLICA</t>
  </si>
  <si>
    <t>MAESTRÍA EN SALUD PÚBLICA</t>
  </si>
  <si>
    <t>|</t>
  </si>
  <si>
    <t>Costo Financiero Fuentes Externas</t>
  </si>
  <si>
    <t>No. Créditos</t>
  </si>
  <si>
    <t xml:space="preserve">Valor Matrícula 2017 </t>
  </si>
  <si>
    <t>Proyección Estudiantes Matriculados 2017-1</t>
  </si>
  <si>
    <t>Total Ingresos proyectados por matrículas 2017</t>
  </si>
  <si>
    <t>Con IPC</t>
  </si>
  <si>
    <t>Ingresos sin incremento Primer Periodo</t>
  </si>
  <si>
    <t>Mayor (Menor) valor Primer Periodo</t>
  </si>
  <si>
    <t>Ingresos sin incremento Segundo Periodo</t>
  </si>
  <si>
    <t>Mayor (Menor) valor Segundo Periodo</t>
  </si>
  <si>
    <t>Total mayor (menor) valor al IPC</t>
  </si>
  <si>
    <t>Ingresos proyectados 2017-1</t>
  </si>
  <si>
    <t>Proyección Estudiantes Matriculados 2017-2</t>
  </si>
  <si>
    <t>Ingresos proyectados 2017-2</t>
  </si>
  <si>
    <t>FACULTAD ARQUITECTURA Y DISEÑO</t>
  </si>
  <si>
    <t xml:space="preserve">FACULTAD CIENCIAS </t>
  </si>
  <si>
    <t>FACULTAD CIENCIAS ECONÓMICAS Y ADMINISTRATIVAS</t>
  </si>
  <si>
    <t>FACULTAD COMUNICACIÓN  Y LENGUAJE</t>
  </si>
  <si>
    <t xml:space="preserve">FACULTAD CIENCIAS JURÍDICAS </t>
  </si>
  <si>
    <t>FACULTAD ENFERMERÍA</t>
  </si>
  <si>
    <t>FACULTAD ARTES</t>
  </si>
  <si>
    <t>FACULTAD CIENCIAS SOCIALES</t>
  </si>
  <si>
    <t>FACULTAD FILOSOFÍA</t>
  </si>
  <si>
    <t>FACULTAD INGENIERÍA</t>
  </si>
  <si>
    <t>FACULTAD MEDICINA</t>
  </si>
  <si>
    <t>FACULTAD PSICOLOGÍA</t>
  </si>
  <si>
    <t>FACULTAD ODONTOLOGIA</t>
  </si>
  <si>
    <t>FACULTAD CIENCIA POLÍTICA</t>
  </si>
  <si>
    <t>FACULTAD ESTUDIOS AMBIENTALES</t>
  </si>
  <si>
    <t>FACULTAD TEOLOGÍA</t>
  </si>
  <si>
    <t xml:space="preserve">PREGRADO </t>
  </si>
  <si>
    <t>TOTAL PREGRADO</t>
  </si>
  <si>
    <t>% PROMEDIO DE INCREMENTO DE MATRÍCULAS PREGRADO</t>
  </si>
  <si>
    <t>POSGRADO</t>
  </si>
  <si>
    <t>FACULTAD CIENCIAS</t>
  </si>
  <si>
    <t>FACULTAD CIENCIAS JURÍDICAS</t>
  </si>
  <si>
    <t>FACULTAD DERECHO CANÓNICO</t>
  </si>
  <si>
    <t>FACULTAD CIENCIAS POLIT. Y REL. INTERNACIONALES</t>
  </si>
  <si>
    <t>TOTAL POSGRADO</t>
  </si>
  <si>
    <t>% PROMEDIO DE INCREMENTO DE MATRÍCULAS POSGRADO</t>
  </si>
  <si>
    <t>TOTAL PONTIFICIA UNIVERSIDAD JAVERIANA</t>
  </si>
  <si>
    <t>% PROMEDIO DE INCREMENTO DE MATRÍCULAS PUJ</t>
  </si>
  <si>
    <t>Fuente: Dirección Financiera – Vicerrectoría Administrativa, Pontificia Universidad Javeriana - Sede Central.</t>
  </si>
  <si>
    <t xml:space="preserve">SEDE CENTRAL </t>
  </si>
  <si>
    <t xml:space="preserve">Valores de matrícula 2016 - 2017 </t>
  </si>
  <si>
    <t>Pontificia Universidad Javeriana</t>
  </si>
  <si>
    <t>Incremento en valores de matrícula y demás derechos pecuniarios - Anexo Sede Central</t>
  </si>
  <si>
    <t>Contenido</t>
  </si>
  <si>
    <t>Valor de los proyectos 2017</t>
  </si>
  <si>
    <t>Presupuesto aprobado 2017</t>
  </si>
  <si>
    <t>Recursos para inversiones 2017</t>
  </si>
  <si>
    <t>Valores matrículas 2016 - 2017</t>
  </si>
  <si>
    <t>Otros conceptos 2016 - 2017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</si>
</sst>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quot;$&quot;#,##0"/>
    <numFmt numFmtId="44" formatCode="_-&quot;$&quot;* #,##0.00_-;\-&quot;$&quot;* #,##0.00_-;_-&quot;$&quot;* &quot;-&quot;??_-;_-@_-"/>
    <numFmt numFmtId="43" formatCode="_-* #,##0.00_-;\-* #,##0.00_-;_-* &quot;-&quot;??_-;_-@_-"/>
    <numFmt numFmtId="164" formatCode="_(* #,##0.00_);_(* \(#,##0.00\);_(* &quot;-&quot;??_);_(@_)"/>
    <numFmt numFmtId="165" formatCode="&quot;$&quot;#,##0.0"/>
    <numFmt numFmtId="166" formatCode="_(* #,##0_);_(* \(#,##0\);_(* &quot;-&quot;??_);_(@_)"/>
    <numFmt numFmtId="167" formatCode="_-&quot;$&quot;* #,##0_-;\-&quot;$&quot;* #,##0_-;_-&quot;$&quot;* &quot;-&quot;??_-;_-@_-"/>
    <numFmt numFmtId="168" formatCode="0.0%"/>
    <numFmt numFmtId="169" formatCode="&quot;$&quot;#,##0"/>
    <numFmt numFmtId="170" formatCode="_-* #,##0_-;\-* #,##0_-;_-* &quot;-&quot;??_-;_-@_-"/>
  </numFmts>
  <fonts count="40" x14ac:knownFonts="1">
    <font>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2"/>
      <color rgb="FF000000"/>
      <name val="Calibri"/>
      <family val="2"/>
      <scheme val="minor"/>
    </font>
    <font>
      <i/>
      <sz val="12"/>
      <color rgb="FF000000"/>
      <name val="Calibri"/>
      <family val="2"/>
      <scheme val="minor"/>
    </font>
    <font>
      <b/>
      <sz val="16"/>
      <color theme="1"/>
      <name val="Calibri"/>
      <family val="2"/>
      <scheme val="minor"/>
    </font>
    <font>
      <sz val="11"/>
      <color theme="1"/>
      <name val="Calibri"/>
      <family val="2"/>
      <scheme val="minor"/>
    </font>
    <font>
      <b/>
      <sz val="11"/>
      <color theme="0"/>
      <name val="Calibri"/>
      <family val="2"/>
      <scheme val="minor"/>
    </font>
    <font>
      <sz val="16"/>
      <color theme="1"/>
      <name val="Calibri"/>
      <family val="2"/>
      <scheme val="minor"/>
    </font>
    <font>
      <sz val="10"/>
      <name val="MS Sans Serif"/>
    </font>
    <font>
      <b/>
      <sz val="10"/>
      <name val="MS Sans Serif"/>
      <family val="2"/>
    </font>
    <font>
      <sz val="10"/>
      <name val="Calibri"/>
      <family val="2"/>
      <scheme val="minor"/>
    </font>
    <font>
      <b/>
      <sz val="10"/>
      <color theme="1"/>
      <name val="Calibri"/>
      <family val="2"/>
      <scheme val="minor"/>
    </font>
    <font>
      <sz val="10"/>
      <color theme="1"/>
      <name val="Calibri"/>
      <family val="2"/>
      <scheme val="minor"/>
    </font>
    <font>
      <sz val="11"/>
      <name val="Calibri"/>
      <family val="2"/>
    </font>
    <font>
      <sz val="10"/>
      <name val="MS Sans Serif"/>
      <family val="2"/>
    </font>
    <font>
      <b/>
      <sz val="20"/>
      <color theme="1"/>
      <name val="Calibri"/>
      <family val="2"/>
      <scheme val="minor"/>
    </font>
    <font>
      <b/>
      <sz val="14"/>
      <name val="Calibri"/>
      <family val="2"/>
      <scheme val="minor"/>
    </font>
    <font>
      <b/>
      <sz val="16"/>
      <name val="Calibri"/>
      <family val="2"/>
      <scheme val="minor"/>
    </font>
    <font>
      <b/>
      <sz val="20"/>
      <name val="Calibri"/>
      <family val="2"/>
      <scheme val="minor"/>
    </font>
    <font>
      <b/>
      <sz val="11"/>
      <name val="MS Sans Serif"/>
      <family val="2"/>
    </font>
    <font>
      <sz val="10"/>
      <name val="Arial"/>
      <family val="2"/>
    </font>
    <font>
      <b/>
      <sz val="10"/>
      <color indexed="9"/>
      <name val="Arial"/>
      <family val="2"/>
    </font>
    <font>
      <sz val="10"/>
      <color rgb="FFFF0000"/>
      <name val="Arial"/>
      <family val="2"/>
    </font>
    <font>
      <b/>
      <sz val="9"/>
      <color indexed="81"/>
      <name val="Tahoma"/>
      <family val="2"/>
    </font>
    <font>
      <sz val="8"/>
      <name val="Calibri"/>
      <family val="2"/>
      <scheme val="minor"/>
    </font>
    <font>
      <sz val="8"/>
      <color rgb="FF002060"/>
      <name val="Calibri"/>
      <family val="2"/>
      <scheme val="minor"/>
    </font>
    <font>
      <b/>
      <sz val="8"/>
      <name val="Calibri"/>
      <family val="2"/>
      <scheme val="minor"/>
    </font>
    <font>
      <b/>
      <sz val="8"/>
      <color rgb="FF002060"/>
      <name val="Calibri"/>
      <family val="2"/>
      <scheme val="minor"/>
    </font>
    <font>
      <b/>
      <u/>
      <sz val="8"/>
      <name val="Calibri"/>
      <family val="2"/>
      <scheme val="minor"/>
    </font>
    <font>
      <sz val="8"/>
      <color rgb="FF000000"/>
      <name val="Calibri"/>
      <family val="2"/>
      <scheme val="minor"/>
    </font>
    <font>
      <b/>
      <sz val="8"/>
      <color rgb="FF000000"/>
      <name val="Calibri"/>
      <family val="2"/>
      <scheme val="minor"/>
    </font>
    <font>
      <i/>
      <sz val="8"/>
      <name val="Calibri"/>
      <family val="2"/>
      <scheme val="minor"/>
    </font>
    <font>
      <sz val="10"/>
      <name val="Verdana"/>
      <family val="2"/>
    </font>
    <font>
      <b/>
      <sz val="16"/>
      <color rgb="FF0062A1"/>
      <name val="Verdana"/>
      <family val="2"/>
    </font>
    <font>
      <sz val="14"/>
      <color rgb="FF0062A1"/>
      <name val="Verdana"/>
      <family val="2"/>
    </font>
    <font>
      <b/>
      <sz val="11"/>
      <color theme="0"/>
      <name val="Verdana"/>
      <family val="2"/>
    </font>
    <font>
      <u/>
      <sz val="11"/>
      <color theme="1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indexed="21"/>
        <bgColor indexed="64"/>
      </patternFill>
    </fill>
    <fill>
      <patternFill patternType="solid">
        <fgColor rgb="FFD6D6D6"/>
        <bgColor indexed="64"/>
      </patternFill>
    </fill>
    <fill>
      <patternFill patternType="solid">
        <fgColor theme="0" tint="-0.249977111117893"/>
        <bgColor indexed="64"/>
      </patternFill>
    </fill>
    <fill>
      <patternFill patternType="solid">
        <fgColor theme="2"/>
        <bgColor indexed="64"/>
      </patternFill>
    </fill>
    <fill>
      <patternFill patternType="solid">
        <fgColor theme="4" tint="-0.249977111117893"/>
        <bgColor indexed="64"/>
      </patternFill>
    </fill>
    <fill>
      <patternFill patternType="solid">
        <fgColor theme="4"/>
        <bgColor indexed="64"/>
      </patternFill>
    </fill>
    <fill>
      <patternFill patternType="solid">
        <fgColor theme="0" tint="-4.9989318521683403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theme="4" tint="-0.249977111117893"/>
      </top>
      <bottom/>
      <diagonal/>
    </border>
    <border>
      <left style="thin">
        <color rgb="FFC0C0C0"/>
      </left>
      <right style="thin">
        <color rgb="FFC0C0C0"/>
      </right>
      <top style="thin">
        <color rgb="FFC0C0C0"/>
      </top>
      <bottom style="thin">
        <color rgb="FFC0C0C0"/>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theme="0"/>
      </left>
      <right style="medium">
        <color theme="0"/>
      </right>
      <top style="medium">
        <color theme="0"/>
      </top>
      <bottom style="medium">
        <color theme="0"/>
      </bottom>
      <diagonal/>
    </border>
  </borders>
  <cellStyleXfs count="11">
    <xf numFmtId="0" fontId="0"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11" fillId="0" borderId="0"/>
    <xf numFmtId="0" fontId="23" fillId="0" borderId="0"/>
    <xf numFmtId="164" fontId="23" fillId="0" borderId="0" applyFont="0" applyFill="0" applyBorder="0" applyAlignment="0" applyProtection="0"/>
    <xf numFmtId="0" fontId="23" fillId="0" borderId="0"/>
    <xf numFmtId="0" fontId="38" fillId="13" borderId="0">
      <alignment horizontal="left" vertical="center" indent="1"/>
    </xf>
    <xf numFmtId="0" fontId="39" fillId="0" borderId="0" applyNumberFormat="0" applyFill="0" applyBorder="0" applyAlignment="0" applyProtection="0"/>
    <xf numFmtId="164" fontId="8" fillId="0" borderId="0" applyFont="0" applyFill="0" applyBorder="0" applyAlignment="0" applyProtection="0"/>
  </cellStyleXfs>
  <cellXfs count="317">
    <xf numFmtId="0" fontId="0" fillId="0" borderId="0" xfId="0"/>
    <xf numFmtId="0" fontId="0" fillId="0" borderId="0" xfId="0" applyFont="1"/>
    <xf numFmtId="0" fontId="0" fillId="0" borderId="0" xfId="0" applyFont="1" applyAlignment="1">
      <alignment wrapText="1"/>
    </xf>
    <xf numFmtId="0" fontId="0" fillId="0" borderId="0" xfId="0" applyFont="1" applyAlignment="1">
      <alignment horizontal="center" vertical="center"/>
    </xf>
    <xf numFmtId="0" fontId="0" fillId="0" borderId="1" xfId="0" applyFont="1" applyBorder="1"/>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165" fontId="1" fillId="0" borderId="9" xfId="0" applyNumberFormat="1" applyFont="1" applyBorder="1" applyAlignment="1">
      <alignment horizontal="center" vertical="center"/>
    </xf>
    <xf numFmtId="0" fontId="2" fillId="0" borderId="13" xfId="0" applyFont="1" applyBorder="1" applyAlignment="1">
      <alignment horizontal="justify" vertical="center" wrapText="1"/>
    </xf>
    <xf numFmtId="0" fontId="2" fillId="0" borderId="15" xfId="0" applyFont="1" applyBorder="1" applyAlignment="1">
      <alignment horizontal="justify" vertical="center" wrapText="1"/>
    </xf>
    <xf numFmtId="0" fontId="0" fillId="0" borderId="3" xfId="0" applyFont="1" applyBorder="1"/>
    <xf numFmtId="165" fontId="0" fillId="0" borderId="4" xfId="0" applyNumberFormat="1" applyFont="1" applyBorder="1" applyAlignment="1">
      <alignment horizontal="center" vertical="center"/>
    </xf>
    <xf numFmtId="165" fontId="0" fillId="0" borderId="17" xfId="0" applyNumberFormat="1" applyFont="1" applyBorder="1" applyAlignment="1">
      <alignment horizontal="center" vertical="center"/>
    </xf>
    <xf numFmtId="0" fontId="2" fillId="0" borderId="19" xfId="0" applyFont="1" applyBorder="1" applyAlignment="1">
      <alignment horizontal="justify" vertical="center" wrapText="1"/>
    </xf>
    <xf numFmtId="0" fontId="0" fillId="0" borderId="5" xfId="0" applyFont="1" applyBorder="1"/>
    <xf numFmtId="165" fontId="0" fillId="0" borderId="6" xfId="0" applyNumberFormat="1" applyFont="1" applyBorder="1" applyAlignment="1">
      <alignment horizontal="center" vertical="center"/>
    </xf>
    <xf numFmtId="0" fontId="2" fillId="0" borderId="20" xfId="0" applyFont="1" applyBorder="1" applyAlignment="1">
      <alignment horizontal="justify" vertical="center" wrapText="1"/>
    </xf>
    <xf numFmtId="0" fontId="0" fillId="0" borderId="8" xfId="0" applyFont="1" applyBorder="1"/>
    <xf numFmtId="165" fontId="7" fillId="0" borderId="9" xfId="0" applyNumberFormat="1"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2" fillId="0" borderId="11" xfId="0" applyFont="1" applyFill="1" applyBorder="1" applyAlignment="1">
      <alignment horizontal="justify" vertical="center" wrapText="1"/>
    </xf>
    <xf numFmtId="0" fontId="0" fillId="0" borderId="8" xfId="0" applyFont="1" applyFill="1" applyBorder="1"/>
    <xf numFmtId="165" fontId="0" fillId="0" borderId="9" xfId="0" applyNumberFormat="1" applyFont="1" applyFill="1" applyBorder="1" applyAlignment="1">
      <alignment horizontal="center" vertical="center"/>
    </xf>
    <xf numFmtId="0" fontId="0" fillId="0" borderId="8" xfId="0" applyFont="1" applyFill="1" applyBorder="1" applyAlignment="1">
      <alignment horizontal="center" vertical="center"/>
    </xf>
    <xf numFmtId="17" fontId="0" fillId="0" borderId="3" xfId="0" applyNumberFormat="1" applyFont="1" applyBorder="1" applyAlignment="1">
      <alignment horizontal="center" vertical="center"/>
    </xf>
    <xf numFmtId="165" fontId="1" fillId="0" borderId="23" xfId="0" applyNumberFormat="1" applyFont="1" applyBorder="1" applyAlignment="1">
      <alignment horizontal="center" vertical="center"/>
    </xf>
    <xf numFmtId="165" fontId="1" fillId="0" borderId="22" xfId="0" applyNumberFormat="1" applyFont="1" applyBorder="1" applyAlignment="1">
      <alignment horizontal="center" vertical="center"/>
    </xf>
    <xf numFmtId="17"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0" borderId="8" xfId="0" applyFont="1" applyFill="1" applyBorder="1" applyAlignment="1">
      <alignment horizontal="center"/>
    </xf>
    <xf numFmtId="0" fontId="0" fillId="2" borderId="1" xfId="0" applyFont="1" applyFill="1" applyBorder="1" applyAlignment="1">
      <alignment horizontal="center" vertical="center"/>
    </xf>
    <xf numFmtId="0" fontId="11" fillId="0" borderId="0" xfId="4"/>
    <xf numFmtId="0" fontId="9" fillId="3" borderId="35" xfId="4" applyFont="1" applyFill="1" applyBorder="1" applyAlignment="1">
      <alignment horizontal="center" vertical="center" wrapText="1"/>
    </xf>
    <xf numFmtId="0" fontId="13" fillId="0" borderId="0" xfId="4" applyFont="1" applyProtection="1">
      <protection locked="0"/>
    </xf>
    <xf numFmtId="0" fontId="14" fillId="4" borderId="0" xfId="4" applyFont="1" applyFill="1" applyAlignment="1">
      <alignment horizontal="left"/>
    </xf>
    <xf numFmtId="38" fontId="14" fillId="4" borderId="0" xfId="4" applyNumberFormat="1" applyFont="1" applyFill="1" applyAlignment="1">
      <alignment shrinkToFit="1"/>
    </xf>
    <xf numFmtId="0" fontId="15" fillId="0" borderId="0" xfId="4" applyFont="1" applyAlignment="1">
      <alignment horizontal="left" indent="2"/>
    </xf>
    <xf numFmtId="0" fontId="14" fillId="5" borderId="0" xfId="4" applyFont="1" applyFill="1" applyAlignment="1">
      <alignment horizontal="left" indent="1"/>
    </xf>
    <xf numFmtId="38" fontId="14" fillId="0" borderId="0" xfId="4" applyNumberFormat="1" applyFont="1" applyFill="1" applyAlignment="1">
      <alignment shrinkToFit="1"/>
    </xf>
    <xf numFmtId="0" fontId="14" fillId="0" borderId="0" xfId="4" applyFont="1" applyAlignment="1">
      <alignment horizontal="left" indent="1"/>
    </xf>
    <xf numFmtId="0" fontId="17" fillId="6" borderId="0" xfId="4" applyFont="1" applyFill="1"/>
    <xf numFmtId="0" fontId="11" fillId="6" borderId="0" xfId="4" applyFill="1"/>
    <xf numFmtId="38" fontId="15" fillId="6" borderId="0" xfId="4" applyNumberFormat="1" applyFont="1" applyFill="1" applyAlignment="1">
      <alignment shrinkToFit="1"/>
    </xf>
    <xf numFmtId="0" fontId="17" fillId="0" borderId="0" xfId="4" applyFont="1"/>
    <xf numFmtId="38" fontId="15" fillId="0" borderId="0" xfId="4" applyNumberFormat="1" applyFont="1" applyAlignment="1">
      <alignment shrinkToFit="1"/>
    </xf>
    <xf numFmtId="38" fontId="11" fillId="6" borderId="0" xfId="4" applyNumberFormat="1" applyFill="1"/>
    <xf numFmtId="166" fontId="0" fillId="0" borderId="0" xfId="1" applyNumberFormat="1" applyFont="1"/>
    <xf numFmtId="9" fontId="0" fillId="0" borderId="0" xfId="3" applyFont="1"/>
    <xf numFmtId="166" fontId="0" fillId="0" borderId="0" xfId="0" applyNumberFormat="1"/>
    <xf numFmtId="0" fontId="0" fillId="0" borderId="0" xfId="0" applyAlignment="1">
      <alignment horizontal="left"/>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13" xfId="0" applyFont="1" applyBorder="1" applyAlignment="1">
      <alignment horizontal="center" vertical="center"/>
    </xf>
    <xf numFmtId="0" fontId="1" fillId="0" borderId="40" xfId="0" applyFont="1" applyBorder="1"/>
    <xf numFmtId="17" fontId="16" fillId="0" borderId="1" xfId="0" applyNumberFormat="1" applyFont="1" applyBorder="1" applyAlignment="1">
      <alignment horizontal="center" vertical="center"/>
    </xf>
    <xf numFmtId="165" fontId="1" fillId="0" borderId="43" xfId="0" applyNumberFormat="1" applyFont="1" applyBorder="1" applyAlignment="1">
      <alignment horizontal="center" vertical="center"/>
    </xf>
    <xf numFmtId="0" fontId="16" fillId="0" borderId="3" xfId="0" applyFont="1" applyBorder="1" applyAlignment="1">
      <alignment horizontal="center" vertical="center"/>
    </xf>
    <xf numFmtId="0" fontId="0" fillId="0" borderId="15" xfId="0" applyFont="1" applyBorder="1" applyAlignment="1">
      <alignment horizontal="center" vertical="center"/>
    </xf>
    <xf numFmtId="0" fontId="16" fillId="0" borderId="5" xfId="0" applyFont="1" applyBorder="1" applyAlignment="1">
      <alignment horizontal="center" vertical="center"/>
    </xf>
    <xf numFmtId="0" fontId="0" fillId="0" borderId="20" xfId="0" applyFont="1" applyBorder="1" applyAlignment="1">
      <alignment horizontal="center" vertical="center"/>
    </xf>
    <xf numFmtId="166" fontId="23" fillId="0" borderId="0" xfId="6" applyNumberFormat="1" applyFont="1"/>
    <xf numFmtId="0" fontId="0" fillId="0" borderId="34" xfId="0" applyFont="1" applyBorder="1" applyAlignment="1">
      <alignment horizontal="center" vertical="center"/>
    </xf>
    <xf numFmtId="0" fontId="0" fillId="0" borderId="1" xfId="0" applyFont="1" applyBorder="1" applyAlignment="1">
      <alignment horizontal="center" vertical="center"/>
    </xf>
    <xf numFmtId="0" fontId="0" fillId="0" borderId="45" xfId="0" applyFont="1" applyBorder="1" applyAlignment="1">
      <alignment horizontal="center" vertical="center"/>
    </xf>
    <xf numFmtId="0" fontId="0" fillId="0" borderId="45" xfId="0" applyFont="1" applyBorder="1"/>
    <xf numFmtId="165" fontId="0" fillId="0" borderId="46" xfId="0" applyNumberFormat="1" applyFont="1" applyBorder="1" applyAlignment="1">
      <alignment horizontal="center" vertical="center"/>
    </xf>
    <xf numFmtId="0" fontId="2" fillId="0" borderId="48" xfId="0" applyFont="1" applyBorder="1" applyAlignment="1">
      <alignment horizontal="justify" vertical="center" wrapText="1"/>
    </xf>
    <xf numFmtId="0" fontId="2" fillId="0" borderId="34" xfId="0" applyFont="1" applyBorder="1" applyAlignment="1">
      <alignment horizontal="justify" vertical="center" wrapText="1"/>
    </xf>
    <xf numFmtId="17" fontId="0" fillId="0" borderId="50" xfId="0" applyNumberFormat="1" applyFont="1" applyBorder="1" applyAlignment="1">
      <alignment horizontal="center" vertical="center"/>
    </xf>
    <xf numFmtId="0" fontId="0" fillId="0" borderId="50" xfId="0" applyFont="1" applyBorder="1" applyAlignment="1">
      <alignment horizontal="center" vertical="center"/>
    </xf>
    <xf numFmtId="0" fontId="0" fillId="0" borderId="50" xfId="0" applyFont="1" applyBorder="1"/>
    <xf numFmtId="165" fontId="0" fillId="0" borderId="44" xfId="0" applyNumberFormat="1" applyFont="1" applyBorder="1" applyAlignment="1">
      <alignment horizontal="center" vertical="center"/>
    </xf>
    <xf numFmtId="0" fontId="2" fillId="0" borderId="51" xfId="0" applyFont="1" applyBorder="1" applyAlignment="1">
      <alignment horizontal="justify" vertical="center" wrapText="1"/>
    </xf>
    <xf numFmtId="17" fontId="16" fillId="0" borderId="3" xfId="0" applyNumberFormat="1" applyFont="1" applyBorder="1" applyAlignment="1">
      <alignment horizontal="center" vertical="center"/>
    </xf>
    <xf numFmtId="17" fontId="16" fillId="0" borderId="50" xfId="0" applyNumberFormat="1"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14" xfId="0" applyFont="1" applyFill="1" applyBorder="1"/>
    <xf numFmtId="0" fontId="0" fillId="0" borderId="16" xfId="0" applyFont="1" applyFill="1" applyBorder="1"/>
    <xf numFmtId="0" fontId="0" fillId="0" borderId="21" xfId="0" applyFont="1" applyFill="1" applyBorder="1"/>
    <xf numFmtId="0" fontId="0" fillId="0" borderId="47" xfId="0" applyFont="1" applyFill="1" applyBorder="1"/>
    <xf numFmtId="0" fontId="0" fillId="0" borderId="49" xfId="0" applyFont="1" applyFill="1" applyBorder="1"/>
    <xf numFmtId="0" fontId="23" fillId="0" borderId="0" xfId="7"/>
    <xf numFmtId="167" fontId="23" fillId="0" borderId="0" xfId="2" applyNumberFormat="1" applyFont="1"/>
    <xf numFmtId="10" fontId="23" fillId="0" borderId="0" xfId="7" applyNumberFormat="1"/>
    <xf numFmtId="0" fontId="23" fillId="0" borderId="0" xfId="7" applyFill="1"/>
    <xf numFmtId="10" fontId="23" fillId="0" borderId="0" xfId="7" applyNumberFormat="1" applyFill="1"/>
    <xf numFmtId="0" fontId="24" fillId="8" borderId="52" xfId="7" applyFont="1" applyFill="1" applyBorder="1" applyAlignment="1">
      <alignment horizontal="center" wrapText="1"/>
    </xf>
    <xf numFmtId="167" fontId="24" fillId="8" borderId="3" xfId="2" applyNumberFormat="1" applyFont="1" applyFill="1" applyBorder="1" applyAlignment="1">
      <alignment horizontal="center" wrapText="1"/>
    </xf>
    <xf numFmtId="167" fontId="24" fillId="8" borderId="4" xfId="2" applyNumberFormat="1" applyFont="1" applyFill="1" applyBorder="1" applyAlignment="1">
      <alignment horizontal="center" wrapText="1"/>
    </xf>
    <xf numFmtId="0" fontId="23" fillId="0" borderId="24" xfId="7" applyBorder="1" applyAlignment="1">
      <alignment wrapText="1"/>
    </xf>
    <xf numFmtId="167" fontId="23" fillId="0" borderId="1" xfId="2" applyNumberFormat="1" applyFont="1" applyBorder="1" applyAlignment="1">
      <alignment wrapText="1"/>
    </xf>
    <xf numFmtId="9" fontId="23" fillId="0" borderId="1" xfId="6" applyNumberFormat="1" applyFont="1" applyBorder="1" applyAlignment="1">
      <alignment horizontal="center"/>
    </xf>
    <xf numFmtId="167" fontId="23" fillId="0" borderId="17" xfId="2" applyNumberFormat="1" applyFont="1" applyBorder="1"/>
    <xf numFmtId="166" fontId="23" fillId="0" borderId="0" xfId="7" applyNumberFormat="1"/>
    <xf numFmtId="0" fontId="23" fillId="0" borderId="24" xfId="7" applyFont="1" applyFill="1" applyBorder="1" applyAlignment="1">
      <alignment wrapText="1"/>
    </xf>
    <xf numFmtId="167" fontId="23" fillId="0" borderId="1" xfId="2" applyNumberFormat="1" applyFont="1" applyFill="1" applyBorder="1" applyAlignment="1">
      <alignment wrapText="1"/>
    </xf>
    <xf numFmtId="167" fontId="23" fillId="0" borderId="17" xfId="2" applyNumberFormat="1" applyFont="1" applyFill="1" applyBorder="1"/>
    <xf numFmtId="0" fontId="23" fillId="0" borderId="25" xfId="7" applyBorder="1" applyAlignment="1">
      <alignment wrapText="1"/>
    </xf>
    <xf numFmtId="167" fontId="23" fillId="0" borderId="5" xfId="2" applyNumberFormat="1" applyFont="1" applyBorder="1" applyAlignment="1">
      <alignment wrapText="1"/>
    </xf>
    <xf numFmtId="9" fontId="23" fillId="0" borderId="5" xfId="6" applyNumberFormat="1" applyFont="1" applyBorder="1" applyAlignment="1">
      <alignment horizontal="center"/>
    </xf>
    <xf numFmtId="167" fontId="23" fillId="0" borderId="6" xfId="2" applyNumberFormat="1" applyFont="1" applyBorder="1"/>
    <xf numFmtId="166" fontId="23" fillId="0" borderId="0" xfId="6" applyNumberFormat="1" applyFont="1" applyAlignment="1">
      <alignment horizontal="center"/>
    </xf>
    <xf numFmtId="0" fontId="24" fillId="8" borderId="53" xfId="7" applyFont="1" applyFill="1" applyBorder="1" applyAlignment="1">
      <alignment horizontal="center" wrapText="1"/>
    </xf>
    <xf numFmtId="167" fontId="24" fillId="8" borderId="23" xfId="2" applyNumberFormat="1" applyFont="1" applyFill="1" applyBorder="1" applyAlignment="1">
      <alignment horizontal="center" wrapText="1"/>
    </xf>
    <xf numFmtId="0" fontId="23" fillId="0" borderId="52" xfId="7" applyFill="1" applyBorder="1" applyAlignment="1">
      <alignment wrapText="1"/>
    </xf>
    <xf numFmtId="167" fontId="23" fillId="0" borderId="3" xfId="2" applyNumberFormat="1" applyFont="1" applyFill="1" applyBorder="1" applyAlignment="1">
      <alignment wrapText="1"/>
    </xf>
    <xf numFmtId="9" fontId="23" fillId="0" borderId="3" xfId="6" applyNumberFormat="1" applyFont="1" applyBorder="1" applyAlignment="1">
      <alignment horizontal="center"/>
    </xf>
    <xf numFmtId="0" fontId="25" fillId="0" borderId="0" xfId="7" applyFont="1"/>
    <xf numFmtId="167" fontId="25" fillId="0" borderId="0" xfId="2" applyNumberFormat="1" applyFont="1"/>
    <xf numFmtId="3" fontId="0" fillId="9" borderId="36" xfId="0" applyNumberFormat="1" applyFill="1" applyBorder="1" applyProtection="1"/>
    <xf numFmtId="38" fontId="0" fillId="9" borderId="36" xfId="0" applyNumberFormat="1" applyFill="1" applyBorder="1" applyProtection="1"/>
    <xf numFmtId="38" fontId="0" fillId="0" borderId="0" xfId="0" applyNumberFormat="1"/>
    <xf numFmtId="166" fontId="0" fillId="0" borderId="0" xfId="3" applyNumberFormat="1" applyFont="1"/>
    <xf numFmtId="0" fontId="0" fillId="0" borderId="0" xfId="0" applyAlignment="1">
      <alignment horizontal="center"/>
    </xf>
    <xf numFmtId="0" fontId="0" fillId="0" borderId="0" xfId="0" applyFill="1" applyAlignment="1">
      <alignment horizontal="left"/>
    </xf>
    <xf numFmtId="9" fontId="0" fillId="0" borderId="0" xfId="3" applyFont="1" applyAlignment="1">
      <alignment horizontal="center"/>
    </xf>
    <xf numFmtId="0" fontId="0" fillId="0" borderId="0" xfId="0" applyAlignment="1">
      <alignment horizontal="right"/>
    </xf>
    <xf numFmtId="9" fontId="0" fillId="0" borderId="0" xfId="0" applyNumberFormat="1"/>
    <xf numFmtId="0" fontId="0" fillId="0" borderId="18" xfId="0" applyFont="1" applyFill="1" applyBorder="1"/>
    <xf numFmtId="0" fontId="0" fillId="0" borderId="10" xfId="0" applyFont="1" applyFill="1" applyBorder="1"/>
    <xf numFmtId="0" fontId="27" fillId="0" borderId="0" xfId="0" applyFont="1" applyBorder="1"/>
    <xf numFmtId="0" fontId="27" fillId="0" borderId="0" xfId="0" applyFont="1" applyBorder="1" applyAlignment="1">
      <alignment horizontal="center"/>
    </xf>
    <xf numFmtId="167" fontId="28" fillId="0" borderId="0" xfId="2" applyNumberFormat="1" applyFont="1" applyBorder="1"/>
    <xf numFmtId="168" fontId="27" fillId="0" borderId="0" xfId="3" applyNumberFormat="1" applyFont="1" applyBorder="1" applyAlignment="1">
      <alignment horizontal="center" vertical="center"/>
    </xf>
    <xf numFmtId="167" fontId="27" fillId="0" borderId="0" xfId="2" applyNumberFormat="1" applyFont="1" applyBorder="1"/>
    <xf numFmtId="167" fontId="27" fillId="0" borderId="0" xfId="2" applyNumberFormat="1" applyFont="1" applyBorder="1" applyAlignment="1">
      <alignment horizontal="center" vertical="center"/>
    </xf>
    <xf numFmtId="168" fontId="27" fillId="0" borderId="0" xfId="3" applyNumberFormat="1" applyFont="1" applyBorder="1" applyAlignment="1">
      <alignment horizontal="center"/>
    </xf>
    <xf numFmtId="169" fontId="27" fillId="0" borderId="0" xfId="3" applyNumberFormat="1" applyFont="1" applyBorder="1" applyAlignment="1">
      <alignment horizontal="center"/>
    </xf>
    <xf numFmtId="169" fontId="27" fillId="0" borderId="0" xfId="0" applyNumberFormat="1" applyFont="1" applyBorder="1" applyAlignment="1">
      <alignment horizontal="center"/>
    </xf>
    <xf numFmtId="170" fontId="27" fillId="0" borderId="3" xfId="1" applyNumberFormat="1" applyFont="1" applyFill="1" applyBorder="1" applyAlignment="1">
      <alignment horizontal="center"/>
    </xf>
    <xf numFmtId="0" fontId="27" fillId="0" borderId="3" xfId="0" applyFont="1" applyFill="1" applyBorder="1" applyAlignment="1">
      <alignment horizontal="center"/>
    </xf>
    <xf numFmtId="0" fontId="27" fillId="0" borderId="4" xfId="0" applyFont="1" applyFill="1" applyBorder="1" applyAlignment="1">
      <alignment horizontal="center"/>
    </xf>
    <xf numFmtId="169" fontId="27" fillId="0" borderId="1" xfId="1" applyNumberFormat="1" applyFont="1" applyFill="1" applyBorder="1" applyAlignment="1">
      <alignment horizontal="center"/>
    </xf>
    <xf numFmtId="169" fontId="27" fillId="0" borderId="1" xfId="0" applyNumberFormat="1" applyFont="1" applyFill="1" applyBorder="1" applyAlignment="1">
      <alignment horizontal="center"/>
    </xf>
    <xf numFmtId="169" fontId="27" fillId="0" borderId="17" xfId="0" applyNumberFormat="1" applyFont="1" applyFill="1" applyBorder="1" applyAlignment="1">
      <alignment horizontal="center"/>
    </xf>
    <xf numFmtId="0" fontId="29" fillId="10" borderId="7" xfId="0" applyFont="1" applyFill="1" applyBorder="1" applyAlignment="1">
      <alignment horizontal="center"/>
    </xf>
    <xf numFmtId="167" fontId="30" fillId="10" borderId="8" xfId="2" applyNumberFormat="1" applyFont="1" applyFill="1" applyBorder="1" applyAlignment="1">
      <alignment horizontal="center"/>
    </xf>
    <xf numFmtId="168" fontId="29" fillId="10" borderId="8" xfId="3" applyNumberFormat="1" applyFont="1" applyFill="1" applyBorder="1" applyAlignment="1">
      <alignment horizontal="center" vertical="center"/>
    </xf>
    <xf numFmtId="10" fontId="29" fillId="10" borderId="8" xfId="2" applyNumberFormat="1" applyFont="1" applyFill="1" applyBorder="1" applyAlignment="1">
      <alignment horizontal="center"/>
    </xf>
    <xf numFmtId="167" fontId="29" fillId="10" borderId="8" xfId="2" applyNumberFormat="1" applyFont="1" applyFill="1" applyBorder="1" applyAlignment="1">
      <alignment horizontal="center" vertical="center"/>
    </xf>
    <xf numFmtId="168" fontId="29" fillId="10" borderId="8" xfId="3" applyNumberFormat="1" applyFont="1" applyFill="1" applyBorder="1" applyAlignment="1">
      <alignment horizontal="center"/>
    </xf>
    <xf numFmtId="0" fontId="29" fillId="10" borderId="8" xfId="0" applyFont="1" applyFill="1" applyBorder="1" applyAlignment="1">
      <alignment horizontal="center"/>
    </xf>
    <xf numFmtId="10" fontId="29" fillId="10" borderId="8" xfId="0" applyNumberFormat="1" applyFont="1" applyFill="1" applyBorder="1" applyAlignment="1">
      <alignment horizontal="center"/>
    </xf>
    <xf numFmtId="0" fontId="29" fillId="10" borderId="9" xfId="0" applyFont="1" applyFill="1" applyBorder="1" applyAlignment="1">
      <alignment horizontal="center"/>
    </xf>
    <xf numFmtId="0" fontId="27" fillId="0" borderId="1" xfId="0" applyFont="1" applyFill="1" applyBorder="1" applyAlignment="1">
      <alignment horizontal="center"/>
    </xf>
    <xf numFmtId="0" fontId="27" fillId="0" borderId="45" xfId="0" applyFont="1" applyFill="1" applyBorder="1" applyAlignment="1">
      <alignment horizontal="center"/>
    </xf>
    <xf numFmtId="169" fontId="27" fillId="0" borderId="45" xfId="0" applyNumberFormat="1" applyFont="1" applyFill="1" applyBorder="1" applyAlignment="1">
      <alignment horizontal="center"/>
    </xf>
    <xf numFmtId="169" fontId="27" fillId="0" borderId="46" xfId="0" applyNumberFormat="1" applyFont="1" applyFill="1" applyBorder="1" applyAlignment="1">
      <alignment horizontal="center"/>
    </xf>
    <xf numFmtId="0" fontId="27" fillId="0" borderId="54" xfId="0" applyFont="1" applyBorder="1" applyAlignment="1">
      <alignment horizontal="center"/>
    </xf>
    <xf numFmtId="167" fontId="28" fillId="0" borderId="54" xfId="2" applyNumberFormat="1" applyFont="1" applyBorder="1" applyAlignment="1">
      <alignment horizontal="center"/>
    </xf>
    <xf numFmtId="168" fontId="27" fillId="0" borderId="54" xfId="3" applyNumberFormat="1" applyFont="1" applyBorder="1" applyAlignment="1">
      <alignment horizontal="center" vertical="center"/>
    </xf>
    <xf numFmtId="5" fontId="27" fillId="0" borderId="54" xfId="2" applyNumberFormat="1" applyFont="1" applyBorder="1" applyAlignment="1">
      <alignment horizontal="center"/>
    </xf>
    <xf numFmtId="167" fontId="27" fillId="0" borderId="54" xfId="2" applyNumberFormat="1" applyFont="1" applyBorder="1" applyAlignment="1">
      <alignment horizontal="center" vertical="center"/>
    </xf>
    <xf numFmtId="168" fontId="27" fillId="0" borderId="54" xfId="3" applyNumberFormat="1" applyFont="1" applyBorder="1" applyAlignment="1">
      <alignment horizontal="center"/>
    </xf>
    <xf numFmtId="3" fontId="27" fillId="0" borderId="54" xfId="0" applyNumberFormat="1" applyFont="1" applyBorder="1" applyAlignment="1">
      <alignment horizontal="center"/>
    </xf>
    <xf numFmtId="169" fontId="27" fillId="0" borderId="54" xfId="0" applyNumberFormat="1" applyFont="1" applyBorder="1" applyAlignment="1">
      <alignment horizontal="center"/>
    </xf>
    <xf numFmtId="169" fontId="27" fillId="0" borderId="23" xfId="0" applyNumberFormat="1" applyFont="1" applyBorder="1" applyAlignment="1">
      <alignment horizontal="center"/>
    </xf>
    <xf numFmtId="0" fontId="27" fillId="0" borderId="8" xfId="0" applyFont="1" applyBorder="1" applyAlignment="1">
      <alignment horizontal="center"/>
    </xf>
    <xf numFmtId="167" fontId="28" fillId="0" borderId="8" xfId="2" applyNumberFormat="1" applyFont="1" applyBorder="1" applyAlignment="1">
      <alignment horizontal="center"/>
    </xf>
    <xf numFmtId="168" fontId="27" fillId="0" borderId="8" xfId="3" applyNumberFormat="1" applyFont="1" applyBorder="1" applyAlignment="1">
      <alignment horizontal="center" vertical="center"/>
    </xf>
    <xf numFmtId="167" fontId="27" fillId="0" borderId="8" xfId="2" applyNumberFormat="1" applyFont="1" applyBorder="1" applyAlignment="1">
      <alignment horizontal="center"/>
    </xf>
    <xf numFmtId="167" fontId="27" fillId="0" borderId="8" xfId="2" applyNumberFormat="1" applyFont="1" applyBorder="1" applyAlignment="1">
      <alignment horizontal="center" vertical="center"/>
    </xf>
    <xf numFmtId="168" fontId="27" fillId="0" borderId="8" xfId="3" applyNumberFormat="1" applyFont="1" applyBorder="1" applyAlignment="1">
      <alignment horizontal="center"/>
    </xf>
    <xf numFmtId="10" fontId="27" fillId="0" borderId="8" xfId="0" applyNumberFormat="1" applyFont="1" applyBorder="1" applyAlignment="1">
      <alignment horizontal="center"/>
    </xf>
    <xf numFmtId="0" fontId="27" fillId="0" borderId="9" xfId="0" applyFont="1" applyBorder="1" applyAlignment="1">
      <alignment horizontal="center"/>
    </xf>
    <xf numFmtId="167" fontId="28" fillId="0" borderId="0" xfId="2" applyNumberFormat="1" applyFont="1" applyBorder="1" applyAlignment="1">
      <alignment horizontal="center"/>
    </xf>
    <xf numFmtId="167" fontId="27" fillId="0" borderId="0" xfId="2" applyNumberFormat="1" applyFont="1" applyBorder="1" applyAlignment="1">
      <alignment horizontal="center"/>
    </xf>
    <xf numFmtId="0" fontId="29" fillId="0" borderId="0" xfId="0" applyFont="1" applyBorder="1"/>
    <xf numFmtId="0" fontId="29" fillId="0" borderId="0" xfId="0" applyFont="1" applyFill="1" applyBorder="1" applyAlignment="1">
      <alignment horizontal="left"/>
    </xf>
    <xf numFmtId="0" fontId="29" fillId="0" borderId="0" xfId="5" applyFont="1" applyFill="1" applyBorder="1" applyAlignment="1">
      <alignment horizontal="left"/>
    </xf>
    <xf numFmtId="0" fontId="29" fillId="0" borderId="55" xfId="0" applyFont="1" applyBorder="1" applyAlignment="1">
      <alignment horizontal="center"/>
    </xf>
    <xf numFmtId="167" fontId="29" fillId="0" borderId="7" xfId="2" applyNumberFormat="1" applyFont="1" applyFill="1" applyBorder="1" applyAlignment="1">
      <alignment horizontal="center" vertical="center" wrapText="1"/>
    </xf>
    <xf numFmtId="167" fontId="29" fillId="0" borderId="8" xfId="2" applyNumberFormat="1" applyFont="1" applyFill="1" applyBorder="1" applyAlignment="1">
      <alignment horizontal="center" vertical="center" wrapText="1"/>
    </xf>
    <xf numFmtId="10" fontId="29" fillId="0" borderId="8" xfId="0" applyNumberFormat="1" applyFont="1" applyFill="1" applyBorder="1" applyAlignment="1">
      <alignment horizontal="center" vertical="center"/>
    </xf>
    <xf numFmtId="167" fontId="29" fillId="0" borderId="9" xfId="2" applyNumberFormat="1" applyFont="1" applyFill="1" applyBorder="1" applyAlignment="1">
      <alignment horizontal="center" vertical="center" wrapText="1"/>
    </xf>
    <xf numFmtId="4" fontId="31" fillId="0" borderId="52" xfId="0" applyNumberFormat="1" applyFont="1" applyFill="1" applyBorder="1"/>
    <xf numFmtId="4" fontId="31" fillId="0" borderId="3" xfId="0" applyNumberFormat="1" applyFont="1" applyFill="1" applyBorder="1" applyAlignment="1">
      <alignment horizontal="center"/>
    </xf>
    <xf numFmtId="44" fontId="27" fillId="0" borderId="3" xfId="2" applyFont="1" applyFill="1" applyBorder="1" applyAlignment="1"/>
    <xf numFmtId="9" fontId="27" fillId="0" borderId="3" xfId="3" applyFont="1" applyFill="1" applyBorder="1" applyAlignment="1">
      <alignment horizontal="center"/>
    </xf>
    <xf numFmtId="169" fontId="27" fillId="0" borderId="3" xfId="0" applyNumberFormat="1" applyFont="1" applyFill="1" applyBorder="1" applyAlignment="1">
      <alignment horizontal="center"/>
    </xf>
    <xf numFmtId="4" fontId="27" fillId="0" borderId="3" xfId="3" applyNumberFormat="1" applyFont="1" applyFill="1" applyBorder="1" applyAlignment="1">
      <alignment horizontal="center"/>
    </xf>
    <xf numFmtId="4" fontId="27" fillId="0" borderId="3" xfId="2" applyNumberFormat="1" applyFont="1" applyFill="1" applyBorder="1" applyAlignment="1">
      <alignment horizontal="center"/>
    </xf>
    <xf numFmtId="4" fontId="27" fillId="0" borderId="3" xfId="0" applyNumberFormat="1" applyFont="1" applyFill="1" applyBorder="1" applyAlignment="1">
      <alignment horizontal="center"/>
    </xf>
    <xf numFmtId="4" fontId="27" fillId="0" borderId="24" xfId="0" applyNumberFormat="1" applyFont="1" applyFill="1" applyBorder="1"/>
    <xf numFmtId="4" fontId="27" fillId="0" borderId="1" xfId="0" applyNumberFormat="1" applyFont="1" applyFill="1" applyBorder="1" applyAlignment="1">
      <alignment horizontal="center"/>
    </xf>
    <xf numFmtId="169" fontId="27" fillId="0" borderId="1" xfId="2" applyNumberFormat="1" applyFont="1" applyFill="1" applyBorder="1" applyAlignment="1">
      <alignment horizontal="center"/>
    </xf>
    <xf numFmtId="4" fontId="27" fillId="0" borderId="1" xfId="3" applyNumberFormat="1" applyFont="1" applyFill="1" applyBorder="1" applyAlignment="1">
      <alignment horizontal="center"/>
    </xf>
    <xf numFmtId="3" fontId="27" fillId="0" borderId="1" xfId="0" applyNumberFormat="1" applyFont="1" applyFill="1" applyBorder="1" applyAlignment="1">
      <alignment horizontal="center"/>
    </xf>
    <xf numFmtId="4" fontId="31" fillId="0" borderId="24" xfId="0" applyNumberFormat="1" applyFont="1" applyFill="1" applyBorder="1"/>
    <xf numFmtId="4" fontId="31" fillId="0" borderId="1" xfId="0" applyNumberFormat="1" applyFont="1" applyFill="1" applyBorder="1" applyAlignment="1">
      <alignment horizontal="center"/>
    </xf>
    <xf numFmtId="4" fontId="27" fillId="0" borderId="1" xfId="2" applyNumberFormat="1" applyFont="1" applyFill="1" applyBorder="1" applyAlignment="1">
      <alignment horizontal="center"/>
    </xf>
    <xf numFmtId="169" fontId="32" fillId="0" borderId="1" xfId="0" applyNumberFormat="1" applyFont="1" applyFill="1" applyBorder="1" applyAlignment="1" applyProtection="1">
      <alignment horizontal="center"/>
      <protection locked="0"/>
    </xf>
    <xf numFmtId="169" fontId="32" fillId="0" borderId="1" xfId="0" applyNumberFormat="1" applyFont="1" applyFill="1" applyBorder="1" applyAlignment="1" applyProtection="1">
      <alignment horizontal="center"/>
    </xf>
    <xf numFmtId="169" fontId="27" fillId="0" borderId="1" xfId="0" applyNumberFormat="1" applyFont="1" applyFill="1" applyBorder="1" applyAlignment="1" applyProtection="1">
      <alignment horizontal="center"/>
    </xf>
    <xf numFmtId="4" fontId="29" fillId="10" borderId="25" xfId="0" applyNumberFormat="1" applyFont="1" applyFill="1" applyBorder="1" applyAlignment="1">
      <alignment horizontal="left"/>
    </xf>
    <xf numFmtId="4" fontId="29" fillId="10" borderId="45" xfId="0" applyNumberFormat="1" applyFont="1" applyFill="1" applyBorder="1" applyAlignment="1">
      <alignment horizontal="center"/>
    </xf>
    <xf numFmtId="169" fontId="29" fillId="10" borderId="45" xfId="2" applyNumberFormat="1" applyFont="1" applyFill="1" applyBorder="1" applyAlignment="1">
      <alignment horizontal="center"/>
    </xf>
    <xf numFmtId="4" fontId="29" fillId="10" borderId="45" xfId="3" applyNumberFormat="1" applyFont="1" applyFill="1" applyBorder="1" applyAlignment="1">
      <alignment horizontal="center"/>
    </xf>
    <xf numFmtId="169" fontId="30" fillId="10" borderId="45" xfId="2" applyNumberFormat="1" applyFont="1" applyFill="1" applyBorder="1" applyAlignment="1">
      <alignment horizontal="center"/>
    </xf>
    <xf numFmtId="3" fontId="29" fillId="10" borderId="45" xfId="0" applyNumberFormat="1" applyFont="1" applyFill="1" applyBorder="1" applyAlignment="1">
      <alignment horizontal="center"/>
    </xf>
    <xf numFmtId="169" fontId="29" fillId="10" borderId="45" xfId="0" applyNumberFormat="1" applyFont="1" applyFill="1" applyBorder="1" applyAlignment="1">
      <alignment horizontal="center"/>
    </xf>
    <xf numFmtId="0" fontId="29" fillId="10" borderId="21" xfId="0" applyFont="1" applyFill="1" applyBorder="1" applyAlignment="1">
      <alignment horizontal="left"/>
    </xf>
    <xf numFmtId="0" fontId="31" fillId="0" borderId="52" xfId="0" applyFont="1" applyFill="1" applyBorder="1"/>
    <xf numFmtId="167" fontId="27" fillId="0" borderId="3" xfId="2" applyNumberFormat="1" applyFont="1" applyFill="1" applyBorder="1"/>
    <xf numFmtId="167" fontId="27" fillId="0" borderId="3" xfId="2" applyNumberFormat="1" applyFont="1" applyFill="1" applyBorder="1" applyAlignment="1">
      <alignment horizontal="center"/>
    </xf>
    <xf numFmtId="0" fontId="27" fillId="0" borderId="3" xfId="0" applyFont="1" applyFill="1" applyBorder="1"/>
    <xf numFmtId="0" fontId="27" fillId="0" borderId="24" xfId="0" applyFont="1" applyFill="1" applyBorder="1"/>
    <xf numFmtId="5" fontId="27" fillId="0" borderId="1" xfId="2" applyNumberFormat="1" applyFont="1" applyFill="1" applyBorder="1" applyAlignment="1">
      <alignment horizontal="center"/>
    </xf>
    <xf numFmtId="168" fontId="27" fillId="0" borderId="1" xfId="3" applyNumberFormat="1" applyFont="1" applyFill="1" applyBorder="1" applyAlignment="1">
      <alignment horizontal="center"/>
    </xf>
    <xf numFmtId="0" fontId="31" fillId="0" borderId="24" xfId="0" applyFont="1" applyFill="1" applyBorder="1"/>
    <xf numFmtId="0" fontId="27" fillId="0" borderId="1" xfId="0" applyFont="1" applyFill="1" applyBorder="1"/>
    <xf numFmtId="168" fontId="27" fillId="0" borderId="1" xfId="0" applyNumberFormat="1" applyFont="1" applyFill="1" applyBorder="1" applyAlignment="1">
      <alignment horizontal="center"/>
    </xf>
    <xf numFmtId="3" fontId="27" fillId="0" borderId="1" xfId="0" applyNumberFormat="1" applyFont="1" applyFill="1" applyBorder="1"/>
    <xf numFmtId="49" fontId="32" fillId="0" borderId="24" xfId="0" applyNumberFormat="1" applyFont="1" applyFill="1" applyBorder="1" applyAlignment="1" applyProtection="1">
      <protection locked="0"/>
    </xf>
    <xf numFmtId="169" fontId="27" fillId="0" borderId="1" xfId="0" applyNumberFormat="1" applyFont="1" applyFill="1" applyBorder="1" applyAlignment="1" applyProtection="1">
      <alignment horizontal="center"/>
      <protection locked="0"/>
    </xf>
    <xf numFmtId="169" fontId="33" fillId="0" borderId="1" xfId="0" applyNumberFormat="1" applyFont="1" applyFill="1" applyBorder="1" applyAlignment="1" applyProtection="1">
      <alignment horizontal="center"/>
      <protection locked="0"/>
    </xf>
    <xf numFmtId="167" fontId="27" fillId="0" borderId="1" xfId="2" applyNumberFormat="1" applyFont="1" applyFill="1" applyBorder="1" applyAlignment="1">
      <alignment horizontal="center"/>
    </xf>
    <xf numFmtId="49" fontId="32" fillId="0" borderId="58" xfId="0" applyNumberFormat="1" applyFont="1" applyFill="1" applyBorder="1" applyAlignment="1" applyProtection="1">
      <protection locked="0"/>
    </xf>
    <xf numFmtId="5" fontId="27" fillId="0" borderId="45" xfId="2" applyNumberFormat="1" applyFont="1" applyFill="1" applyBorder="1" applyAlignment="1">
      <alignment horizontal="center"/>
    </xf>
    <xf numFmtId="167" fontId="27" fillId="0" borderId="45" xfId="2" applyNumberFormat="1" applyFont="1" applyFill="1" applyBorder="1" applyAlignment="1">
      <alignment horizontal="center"/>
    </xf>
    <xf numFmtId="3" fontId="27" fillId="0" borderId="45" xfId="0" applyNumberFormat="1" applyFont="1" applyFill="1" applyBorder="1" applyAlignment="1">
      <alignment horizontal="center"/>
    </xf>
    <xf numFmtId="169" fontId="32" fillId="0" borderId="45" xfId="0" applyNumberFormat="1" applyFont="1" applyFill="1" applyBorder="1" applyAlignment="1" applyProtection="1">
      <alignment horizontal="center"/>
      <protection locked="0"/>
    </xf>
    <xf numFmtId="0" fontId="29" fillId="11" borderId="7" xfId="0" applyFont="1" applyFill="1" applyBorder="1" applyAlignment="1">
      <alignment horizontal="left"/>
    </xf>
    <xf numFmtId="0" fontId="29" fillId="11" borderId="53" xfId="0" applyFont="1" applyFill="1" applyBorder="1" applyAlignment="1">
      <alignment horizontal="left"/>
    </xf>
    <xf numFmtId="0" fontId="34" fillId="0" borderId="0" xfId="0" applyFont="1" applyBorder="1"/>
    <xf numFmtId="0" fontId="29" fillId="11" borderId="42" xfId="0" applyFont="1" applyFill="1" applyBorder="1" applyAlignment="1">
      <alignment horizontal="left"/>
    </xf>
    <xf numFmtId="0" fontId="27" fillId="0" borderId="40" xfId="0" applyFont="1" applyBorder="1" applyAlignment="1">
      <alignment horizontal="center"/>
    </xf>
    <xf numFmtId="167" fontId="28" fillId="0" borderId="40" xfId="2" applyNumberFormat="1" applyFont="1" applyBorder="1" applyAlignment="1">
      <alignment horizontal="center"/>
    </xf>
    <xf numFmtId="168" fontId="27" fillId="0" borderId="40" xfId="3" applyNumberFormat="1" applyFont="1" applyBorder="1" applyAlignment="1">
      <alignment horizontal="center" vertical="center"/>
    </xf>
    <xf numFmtId="167" fontId="27" fillId="0" borderId="40" xfId="2" applyNumberFormat="1" applyFont="1" applyBorder="1" applyAlignment="1">
      <alignment horizontal="center"/>
    </xf>
    <xf numFmtId="167" fontId="27" fillId="0" borderId="40" xfId="2" applyNumberFormat="1" applyFont="1" applyBorder="1" applyAlignment="1">
      <alignment horizontal="center" vertical="center"/>
    </xf>
    <xf numFmtId="168" fontId="27" fillId="0" borderId="40" xfId="3" applyNumberFormat="1" applyFont="1" applyBorder="1" applyAlignment="1">
      <alignment horizontal="center"/>
    </xf>
    <xf numFmtId="3" fontId="27" fillId="0" borderId="40" xfId="0" applyNumberFormat="1" applyFont="1" applyBorder="1" applyAlignment="1">
      <alignment horizontal="center"/>
    </xf>
    <xf numFmtId="169" fontId="27" fillId="0" borderId="40" xfId="0" applyNumberFormat="1" applyFont="1" applyBorder="1" applyAlignment="1">
      <alignment horizontal="center"/>
    </xf>
    <xf numFmtId="169" fontId="27" fillId="0" borderId="43" xfId="0" applyNumberFormat="1" applyFont="1" applyBorder="1" applyAlignment="1">
      <alignment horizontal="center"/>
    </xf>
    <xf numFmtId="0" fontId="27" fillId="0" borderId="11" xfId="0" applyFont="1" applyBorder="1" applyAlignment="1">
      <alignment horizontal="center"/>
    </xf>
    <xf numFmtId="10" fontId="27" fillId="0" borderId="8" xfId="2" applyNumberFormat="1" applyFont="1" applyBorder="1" applyAlignment="1">
      <alignment horizontal="center"/>
    </xf>
    <xf numFmtId="3" fontId="27" fillId="0" borderId="8" xfId="0" applyNumberFormat="1" applyFont="1" applyBorder="1" applyAlignment="1">
      <alignment horizontal="center"/>
    </xf>
    <xf numFmtId="169" fontId="27" fillId="0" borderId="8" xfId="0" applyNumberFormat="1" applyFont="1" applyBorder="1" applyAlignment="1">
      <alignment horizontal="center"/>
    </xf>
    <xf numFmtId="167" fontId="29" fillId="7" borderId="10" xfId="2" applyNumberFormat="1" applyFont="1" applyFill="1" applyBorder="1" applyAlignment="1">
      <alignment vertical="center" wrapText="1"/>
    </xf>
    <xf numFmtId="167" fontId="29" fillId="7" borderId="28" xfId="2" applyNumberFormat="1" applyFont="1" applyFill="1" applyBorder="1" applyAlignment="1">
      <alignment vertical="center" wrapText="1"/>
    </xf>
    <xf numFmtId="167" fontId="29" fillId="7" borderId="56" xfId="2" applyNumberFormat="1" applyFont="1" applyFill="1" applyBorder="1" applyAlignment="1">
      <alignment vertical="center" wrapText="1"/>
    </xf>
    <xf numFmtId="0" fontId="29" fillId="11" borderId="30" xfId="0" applyFont="1" applyFill="1" applyBorder="1" applyAlignment="1">
      <alignment vertical="center"/>
    </xf>
    <xf numFmtId="0" fontId="29" fillId="11" borderId="31" xfId="0" applyFont="1" applyFill="1" applyBorder="1" applyAlignment="1">
      <alignment vertical="center"/>
    </xf>
    <xf numFmtId="0" fontId="29" fillId="11" borderId="57" xfId="0" applyFont="1" applyFill="1" applyBorder="1" applyAlignment="1">
      <alignment vertical="center"/>
    </xf>
    <xf numFmtId="0" fontId="35" fillId="2" borderId="0" xfId="0" applyFont="1" applyFill="1" applyBorder="1"/>
    <xf numFmtId="0" fontId="35" fillId="2" borderId="0" xfId="0" applyFont="1" applyFill="1" applyBorder="1" applyAlignment="1"/>
    <xf numFmtId="0" fontId="35" fillId="12" borderId="0" xfId="0" applyFont="1" applyFill="1" applyBorder="1" applyAlignment="1"/>
    <xf numFmtId="0" fontId="36" fillId="2" borderId="0" xfId="0" applyFont="1" applyFill="1" applyBorder="1"/>
    <xf numFmtId="0" fontId="37" fillId="2" borderId="0" xfId="0" applyFont="1" applyFill="1" applyBorder="1"/>
    <xf numFmtId="0" fontId="38" fillId="13" borderId="0" xfId="8">
      <alignment horizontal="left" vertical="center" indent="1"/>
    </xf>
    <xf numFmtId="0" fontId="39" fillId="14" borderId="59" xfId="9" applyFill="1" applyBorder="1" applyAlignment="1">
      <alignment horizontal="left" vertical="center" indent="2"/>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10" fillId="0" borderId="0" xfId="0" applyFont="1" applyAlignment="1">
      <alignment horizontal="left" vertical="center" wrapText="1"/>
    </xf>
    <xf numFmtId="0" fontId="0" fillId="0" borderId="26" xfId="0" applyFont="1" applyBorder="1" applyAlignment="1">
      <alignment horizontal="center" vertical="center"/>
    </xf>
    <xf numFmtId="0" fontId="0" fillId="0" borderId="13" xfId="0" applyFont="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0" fillId="0" borderId="29" xfId="0" applyFont="1" applyBorder="1" applyAlignment="1">
      <alignment horizontal="center" vertical="center"/>
    </xf>
    <xf numFmtId="0" fontId="0" fillId="0" borderId="20" xfId="0" applyFont="1" applyBorder="1" applyAlignment="1">
      <alignment horizontal="center" vertical="center"/>
    </xf>
    <xf numFmtId="0" fontId="18" fillId="0" borderId="0" xfId="0" applyFont="1" applyAlignment="1">
      <alignment horizontal="center"/>
    </xf>
    <xf numFmtId="0" fontId="20" fillId="2" borderId="0" xfId="4" applyFont="1" applyFill="1" applyAlignment="1">
      <alignment horizontal="center"/>
    </xf>
    <xf numFmtId="17" fontId="0" fillId="0" borderId="29" xfId="0" applyNumberFormat="1" applyFont="1" applyBorder="1" applyAlignment="1">
      <alignment horizontal="center" vertical="center"/>
    </xf>
    <xf numFmtId="17" fontId="0" fillId="0" borderId="20" xfId="0" applyNumberFormat="1" applyFont="1" applyBorder="1" applyAlignment="1">
      <alignment horizontal="center" vertical="center"/>
    </xf>
    <xf numFmtId="0" fontId="1" fillId="0" borderId="10" xfId="0" applyFont="1" applyBorder="1" applyAlignment="1">
      <alignment horizontal="left" vertical="center"/>
    </xf>
    <xf numFmtId="0" fontId="1" fillId="0" borderId="28" xfId="0" applyFont="1" applyBorder="1" applyAlignment="1">
      <alignment horizontal="left" vertical="center"/>
    </xf>
    <xf numFmtId="0" fontId="1" fillId="0" borderId="11" xfId="0" applyFont="1" applyBorder="1" applyAlignment="1">
      <alignment horizontal="left"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1" fillId="0" borderId="32" xfId="0" applyFont="1" applyBorder="1" applyAlignment="1">
      <alignment horizontal="left" vertical="center"/>
    </xf>
    <xf numFmtId="0" fontId="1" fillId="0" borderId="18" xfId="0" applyFont="1" applyBorder="1" applyAlignment="1">
      <alignment horizontal="left" vertical="center"/>
    </xf>
    <xf numFmtId="0" fontId="1" fillId="0" borderId="41" xfId="0" applyFont="1" applyBorder="1" applyAlignment="1">
      <alignment horizontal="left" vertical="center"/>
    </xf>
    <xf numFmtId="0" fontId="1" fillId="0" borderId="19" xfId="0" applyFont="1" applyBorder="1" applyAlignment="1">
      <alignment horizontal="left" vertical="center"/>
    </xf>
    <xf numFmtId="0" fontId="0" fillId="0" borderId="27" xfId="0" applyFont="1" applyBorder="1" applyAlignment="1">
      <alignment horizontal="center" vertical="center"/>
    </xf>
    <xf numFmtId="0" fontId="0" fillId="0" borderId="1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 fillId="0" borderId="42" xfId="0" applyFont="1" applyBorder="1" applyAlignment="1">
      <alignment horizontal="left" vertical="center"/>
    </xf>
    <xf numFmtId="0" fontId="1" fillId="0" borderId="40" xfId="0" applyFont="1" applyBorder="1" applyAlignment="1">
      <alignment horizontal="left" vertical="center"/>
    </xf>
    <xf numFmtId="0" fontId="1" fillId="0" borderId="10" xfId="0" applyFont="1" applyBorder="1" applyAlignment="1">
      <alignment horizontal="left" vertical="center" wrapText="1"/>
    </xf>
    <xf numFmtId="0" fontId="1" fillId="0" borderId="28" xfId="0" applyFont="1" applyBorder="1" applyAlignment="1">
      <alignment horizontal="left" vertical="center" wrapText="1"/>
    </xf>
    <xf numFmtId="0" fontId="1" fillId="0" borderId="11" xfId="0" applyFont="1" applyBorder="1" applyAlignment="1">
      <alignment horizontal="left" vertical="center" wrapText="1"/>
    </xf>
    <xf numFmtId="0" fontId="21" fillId="2" borderId="0" xfId="4" applyFont="1" applyFill="1" applyAlignment="1">
      <alignment horizontal="center"/>
    </xf>
    <xf numFmtId="0" fontId="19" fillId="2" borderId="0" xfId="4" applyFont="1" applyFill="1" applyAlignment="1">
      <alignment horizontal="center"/>
    </xf>
    <xf numFmtId="0" fontId="12" fillId="2" borderId="0" xfId="4" applyFont="1" applyFill="1" applyAlignment="1">
      <alignment horizontal="center"/>
    </xf>
    <xf numFmtId="0" fontId="22" fillId="2" borderId="0" xfId="4" applyFont="1" applyFill="1" applyAlignment="1">
      <alignment horizontal="center"/>
    </xf>
    <xf numFmtId="169" fontId="32" fillId="0" borderId="17" xfId="0" applyNumberFormat="1" applyFont="1" applyFill="1" applyBorder="1" applyAlignment="1" applyProtection="1">
      <alignment horizontal="center" vertical="center"/>
      <protection locked="0"/>
    </xf>
    <xf numFmtId="169" fontId="32" fillId="0" borderId="17" xfId="0" applyNumberFormat="1" applyFont="1" applyFill="1" applyBorder="1" applyAlignment="1" applyProtection="1">
      <alignment horizontal="center" vertical="center" wrapText="1"/>
      <protection locked="0"/>
    </xf>
    <xf numFmtId="169" fontId="32" fillId="0" borderId="1" xfId="0" applyNumberFormat="1" applyFont="1" applyFill="1" applyBorder="1" applyAlignment="1" applyProtection="1">
      <alignment horizontal="center" vertical="center"/>
      <protection locked="0"/>
    </xf>
    <xf numFmtId="169" fontId="32" fillId="0" borderId="1" xfId="0" applyNumberFormat="1" applyFont="1" applyFill="1" applyBorder="1" applyAlignment="1" applyProtection="1">
      <alignment horizontal="center" vertical="center" wrapText="1"/>
      <protection locked="0"/>
    </xf>
    <xf numFmtId="169" fontId="32" fillId="0" borderId="1" xfId="0" applyNumberFormat="1" applyFont="1" applyFill="1" applyBorder="1" applyAlignment="1" applyProtection="1">
      <alignment horizontal="center"/>
      <protection locked="0"/>
    </xf>
    <xf numFmtId="169" fontId="32" fillId="0" borderId="17" xfId="0" applyNumberFormat="1" applyFont="1" applyFill="1" applyBorder="1" applyAlignment="1" applyProtection="1">
      <alignment horizontal="center"/>
      <protection locked="0"/>
    </xf>
    <xf numFmtId="3" fontId="27" fillId="0" borderId="1" xfId="0" applyNumberFormat="1" applyFont="1" applyFill="1" applyBorder="1" applyAlignment="1">
      <alignment horizontal="center" vertical="center"/>
    </xf>
    <xf numFmtId="3" fontId="27" fillId="0" borderId="1" xfId="0" applyNumberFormat="1" applyFont="1" applyFill="1" applyBorder="1" applyAlignment="1">
      <alignment horizontal="center"/>
    </xf>
    <xf numFmtId="169" fontId="27" fillId="0" borderId="17" xfId="0" applyNumberFormat="1" applyFont="1" applyFill="1" applyBorder="1" applyAlignment="1">
      <alignment horizontal="center" vertical="center" wrapText="1"/>
    </xf>
    <xf numFmtId="169" fontId="27" fillId="0" borderId="17" xfId="0" applyNumberFormat="1" applyFont="1" applyFill="1" applyBorder="1" applyAlignment="1">
      <alignment horizontal="center" vertical="center"/>
    </xf>
    <xf numFmtId="169" fontId="27" fillId="0" borderId="17" xfId="0" applyNumberFormat="1" applyFont="1" applyFill="1" applyBorder="1" applyAlignment="1">
      <alignment horizontal="center"/>
    </xf>
    <xf numFmtId="169" fontId="27" fillId="0" borderId="1" xfId="0" applyNumberFormat="1" applyFont="1" applyFill="1" applyBorder="1" applyAlignment="1">
      <alignment horizontal="center" vertical="center" wrapText="1"/>
    </xf>
    <xf numFmtId="169" fontId="27" fillId="0" borderId="1" xfId="0" applyNumberFormat="1" applyFont="1" applyFill="1" applyBorder="1" applyAlignment="1">
      <alignment horizontal="center" vertical="center"/>
    </xf>
    <xf numFmtId="169" fontId="27" fillId="0" borderId="1" xfId="0" applyNumberFormat="1" applyFont="1" applyFill="1" applyBorder="1" applyAlignment="1">
      <alignment horizontal="center"/>
    </xf>
    <xf numFmtId="169" fontId="27" fillId="0" borderId="1" xfId="0" applyNumberFormat="1" applyFont="1" applyFill="1" applyBorder="1" applyAlignment="1" applyProtection="1">
      <alignment horizontal="center" vertical="center"/>
    </xf>
    <xf numFmtId="3" fontId="27" fillId="0" borderId="1" xfId="0" applyNumberFormat="1" applyFont="1" applyFill="1" applyBorder="1" applyAlignment="1">
      <alignment horizontal="center" vertical="center" wrapText="1"/>
    </xf>
    <xf numFmtId="169" fontId="27" fillId="0" borderId="1" xfId="0" applyNumberFormat="1" applyFont="1" applyFill="1" applyBorder="1" applyAlignment="1" applyProtection="1">
      <alignment horizontal="center"/>
    </xf>
  </cellXfs>
  <cellStyles count="11">
    <cellStyle name="Encabezado_tabla" xfId="8"/>
    <cellStyle name="Hipervínculo" xfId="9" builtinId="8"/>
    <cellStyle name="Millares" xfId="1" builtinId="3"/>
    <cellStyle name="Millares 2" xfId="6"/>
    <cellStyle name="Millares 3" xfId="10"/>
    <cellStyle name="Moneda" xfId="2" builtinId="4"/>
    <cellStyle name="Normal" xfId="0" builtinId="0"/>
    <cellStyle name="Normal 2" xfId="5"/>
    <cellStyle name="Normal 3" xfId="4"/>
    <cellStyle name="Normal 3 2" xfId="7"/>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1939924</xdr:colOff>
      <xdr:row>0</xdr:row>
      <xdr:rowOff>0</xdr:rowOff>
    </xdr:from>
    <xdr:to>
      <xdr:col>1</xdr:col>
      <xdr:colOff>1924050</xdr:colOff>
      <xdr:row>3</xdr:row>
      <xdr:rowOff>136775</xdr:rowOff>
    </xdr:to>
    <xdr:pic>
      <xdr:nvPicPr>
        <xdr:cNvPr id="2" name="Imagen 2" descr="escud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9924" y="0"/>
          <a:ext cx="1927226" cy="708275"/>
        </a:xfrm>
        <a:prstGeom prst="rect">
          <a:avLst/>
        </a:prstGeom>
      </xdr:spPr>
    </xdr:pic>
    <xdr:clientData/>
  </xdr:twoCellAnchor>
  <xdr:twoCellAnchor editAs="oneCell">
    <xdr:from>
      <xdr:col>1</xdr:col>
      <xdr:colOff>9525</xdr:colOff>
      <xdr:row>4</xdr:row>
      <xdr:rowOff>9525</xdr:rowOff>
    </xdr:from>
    <xdr:to>
      <xdr:col>2</xdr:col>
      <xdr:colOff>0</xdr:colOff>
      <xdr:row>11</xdr:row>
      <xdr:rowOff>0</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81200" y="771525"/>
          <a:ext cx="9429750" cy="13239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tabSelected="1" workbookViewId="0"/>
  </sheetViews>
  <sheetFormatPr baseColWidth="10" defaultRowHeight="15" x14ac:dyDescent="0.25"/>
  <cols>
    <col min="1" max="1" width="11" customWidth="1"/>
    <col min="2" max="2" width="141.5703125" customWidth="1"/>
  </cols>
  <sheetData>
    <row r="1" spans="1:2" x14ac:dyDescent="0.25">
      <c r="A1" s="253"/>
      <c r="B1" s="253"/>
    </row>
    <row r="2" spans="1:2" x14ac:dyDescent="0.25">
      <c r="A2" s="253"/>
      <c r="B2" s="253"/>
    </row>
    <row r="3" spans="1:2" x14ac:dyDescent="0.25">
      <c r="A3" s="253"/>
      <c r="B3" s="253"/>
    </row>
    <row r="4" spans="1:2" x14ac:dyDescent="0.25">
      <c r="A4" s="253"/>
      <c r="B4" s="253"/>
    </row>
    <row r="5" spans="1:2" x14ac:dyDescent="0.25">
      <c r="A5" s="253"/>
      <c r="B5" s="253"/>
    </row>
    <row r="6" spans="1:2" x14ac:dyDescent="0.25">
      <c r="A6" s="253"/>
      <c r="B6" s="253"/>
    </row>
    <row r="7" spans="1:2" x14ac:dyDescent="0.25">
      <c r="A7" s="253"/>
      <c r="B7" s="253"/>
    </row>
    <row r="8" spans="1:2" x14ac:dyDescent="0.25">
      <c r="A8" s="253"/>
      <c r="B8" s="253"/>
    </row>
    <row r="9" spans="1:2" x14ac:dyDescent="0.25">
      <c r="A9" s="253"/>
      <c r="B9" s="253"/>
    </row>
    <row r="10" spans="1:2" x14ac:dyDescent="0.25">
      <c r="A10" s="253"/>
      <c r="B10" s="253"/>
    </row>
    <row r="11" spans="1:2" x14ac:dyDescent="0.25">
      <c r="A11" s="253"/>
      <c r="B11" s="253"/>
    </row>
    <row r="12" spans="1:2" x14ac:dyDescent="0.25">
      <c r="A12" s="254"/>
      <c r="B12" s="255"/>
    </row>
    <row r="13" spans="1:2" x14ac:dyDescent="0.25">
      <c r="A13" s="253"/>
      <c r="B13" s="253"/>
    </row>
    <row r="14" spans="1:2" ht="19.5" x14ac:dyDescent="0.25">
      <c r="A14" s="253"/>
      <c r="B14" s="256" t="s">
        <v>554</v>
      </c>
    </row>
    <row r="15" spans="1:2" ht="18" x14ac:dyDescent="0.25">
      <c r="A15" s="253"/>
      <c r="B15" s="257" t="s">
        <v>555</v>
      </c>
    </row>
    <row r="16" spans="1:2" x14ac:dyDescent="0.25">
      <c r="A16" s="253"/>
      <c r="B16" s="253"/>
    </row>
    <row r="17" spans="1:2" ht="15.75" thickBot="1" x14ac:dyDescent="0.3">
      <c r="A17" s="253"/>
      <c r="B17" s="258" t="s">
        <v>556</v>
      </c>
    </row>
    <row r="18" spans="1:2" ht="15.75" thickBot="1" x14ac:dyDescent="0.3">
      <c r="B18" s="259" t="s">
        <v>557</v>
      </c>
    </row>
    <row r="19" spans="1:2" ht="15.75" thickBot="1" x14ac:dyDescent="0.3">
      <c r="B19" s="259" t="s">
        <v>558</v>
      </c>
    </row>
    <row r="20" spans="1:2" ht="15.75" thickBot="1" x14ac:dyDescent="0.3">
      <c r="B20" s="259" t="s">
        <v>559</v>
      </c>
    </row>
    <row r="21" spans="1:2" ht="15.75" thickBot="1" x14ac:dyDescent="0.3">
      <c r="B21" s="259" t="s">
        <v>560</v>
      </c>
    </row>
    <row r="22" spans="1:2" ht="15.75" thickBot="1" x14ac:dyDescent="0.3">
      <c r="B22" s="259" t="s">
        <v>561</v>
      </c>
    </row>
  </sheetData>
  <hyperlinks>
    <hyperlink ref="B18" location="'Valor de los proyectos 2017'!A1" display="Valor de los proyectos 2017"/>
    <hyperlink ref="B19" location="'Presupuesto aprobado 2017'!A1" display="Presupuesto aprobado 2017"/>
    <hyperlink ref="B20" location="'Recursos para inversiones 2017'!A1" display="Recursos para inversiones 2017"/>
    <hyperlink ref="B21" location="'Valores matrículas 2016 - 2017'!A1" display="Valores matrículas 2016 - 2017"/>
    <hyperlink ref="B22" location="'Otros conceptos 2016 - 2017'!A1" display="Otros conceptos 2016 - 2017"/>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2"/>
  <sheetViews>
    <sheetView showGridLines="0" zoomScale="90" zoomScaleNormal="90" workbookViewId="0"/>
  </sheetViews>
  <sheetFormatPr baseColWidth="10" defaultRowHeight="15" x14ac:dyDescent="0.25"/>
  <cols>
    <col min="1" max="1" width="11.42578125" style="1"/>
    <col min="2" max="2" width="5.28515625" style="1" customWidth="1"/>
    <col min="3" max="3" width="67" style="2" customWidth="1"/>
    <col min="4" max="7" width="14.85546875" style="1" customWidth="1"/>
    <col min="8" max="8" width="25" style="1" customWidth="1"/>
    <col min="9" max="9" width="24.140625" style="3" customWidth="1"/>
  </cols>
  <sheetData>
    <row r="2" spans="2:9" ht="26.25" x14ac:dyDescent="0.4">
      <c r="B2" s="272" t="s">
        <v>195</v>
      </c>
      <c r="C2" s="272"/>
      <c r="D2" s="272"/>
      <c r="E2" s="272"/>
      <c r="F2" s="272"/>
      <c r="G2" s="272"/>
      <c r="H2" s="272"/>
      <c r="I2" s="272"/>
    </row>
    <row r="3" spans="2:9" ht="21" x14ac:dyDescent="0.35">
      <c r="B3" s="273" t="s">
        <v>206</v>
      </c>
      <c r="C3" s="273"/>
      <c r="D3" s="273"/>
      <c r="E3" s="273"/>
      <c r="F3" s="273"/>
      <c r="G3" s="273"/>
      <c r="H3" s="273"/>
      <c r="I3" s="273"/>
    </row>
    <row r="5" spans="2:9" x14ac:dyDescent="0.25">
      <c r="B5" s="262" t="s">
        <v>60</v>
      </c>
      <c r="C5" s="262"/>
      <c r="D5" s="262"/>
      <c r="E5" s="262"/>
      <c r="F5" s="262"/>
      <c r="G5" s="262"/>
      <c r="H5" s="262"/>
      <c r="I5" s="262"/>
    </row>
    <row r="6" spans="2:9" x14ac:dyDescent="0.25">
      <c r="B6" s="262"/>
      <c r="C6" s="262"/>
      <c r="D6" s="262"/>
      <c r="E6" s="262"/>
      <c r="F6" s="262"/>
      <c r="G6" s="262"/>
      <c r="H6" s="262"/>
      <c r="I6" s="262"/>
    </row>
    <row r="7" spans="2:9" x14ac:dyDescent="0.25">
      <c r="B7" s="262"/>
      <c r="C7" s="262"/>
      <c r="D7" s="262"/>
      <c r="E7" s="262"/>
      <c r="F7" s="262"/>
      <c r="G7" s="262"/>
      <c r="H7" s="262"/>
      <c r="I7" s="262"/>
    </row>
    <row r="9" spans="2:9" ht="15.75" thickBot="1" x14ac:dyDescent="0.3"/>
    <row r="10" spans="2:9" ht="16.5" thickBot="1" x14ac:dyDescent="0.3">
      <c r="F10" s="265" t="s">
        <v>53</v>
      </c>
      <c r="G10" s="266"/>
      <c r="H10" s="267"/>
    </row>
    <row r="11" spans="2:9" ht="48" thickBot="1" x14ac:dyDescent="0.3">
      <c r="B11" s="268" t="s">
        <v>54</v>
      </c>
      <c r="C11" s="269"/>
      <c r="D11" s="6" t="s">
        <v>47</v>
      </c>
      <c r="E11" s="9" t="s">
        <v>48</v>
      </c>
      <c r="F11" s="7" t="s">
        <v>50</v>
      </c>
      <c r="G11" s="5" t="s">
        <v>52</v>
      </c>
      <c r="H11" s="8" t="s">
        <v>51</v>
      </c>
      <c r="I11" s="9" t="s">
        <v>408</v>
      </c>
    </row>
    <row r="12" spans="2:9" ht="19.5" thickBot="1" x14ac:dyDescent="0.3">
      <c r="B12" s="276" t="s">
        <v>0</v>
      </c>
      <c r="C12" s="277"/>
      <c r="D12" s="277"/>
      <c r="E12" s="277"/>
      <c r="F12" s="277"/>
      <c r="G12" s="277"/>
      <c r="H12" s="278"/>
      <c r="I12" s="30">
        <f>SUM(I13:I18)</f>
        <v>1119</v>
      </c>
    </row>
    <row r="13" spans="2:9" ht="72.75" customHeight="1" thickBot="1" x14ac:dyDescent="0.3">
      <c r="B13" s="84"/>
      <c r="C13" s="12" t="s">
        <v>424</v>
      </c>
      <c r="D13" s="32">
        <v>42736</v>
      </c>
      <c r="E13" s="32">
        <v>43070</v>
      </c>
      <c r="F13" s="22" t="s">
        <v>56</v>
      </c>
      <c r="G13" s="13"/>
      <c r="H13" s="22" t="s">
        <v>56</v>
      </c>
      <c r="I13" s="14">
        <v>180</v>
      </c>
    </row>
    <row r="14" spans="2:9" ht="72.75" customHeight="1" thickBot="1" x14ac:dyDescent="0.3">
      <c r="B14" s="88"/>
      <c r="C14" s="73" t="s">
        <v>425</v>
      </c>
      <c r="D14" s="32">
        <v>42736</v>
      </c>
      <c r="E14" s="32">
        <v>43070</v>
      </c>
      <c r="F14" s="83" t="s">
        <v>56</v>
      </c>
      <c r="G14" s="13"/>
      <c r="H14" s="83" t="s">
        <v>56</v>
      </c>
      <c r="I14" s="14">
        <v>100</v>
      </c>
    </row>
    <row r="15" spans="2:9" ht="72.75" customHeight="1" x14ac:dyDescent="0.25">
      <c r="B15" s="88"/>
      <c r="C15" s="73" t="s">
        <v>426</v>
      </c>
      <c r="D15" s="32">
        <v>42736</v>
      </c>
      <c r="E15" s="32">
        <v>43070</v>
      </c>
      <c r="F15" s="83" t="s">
        <v>56</v>
      </c>
      <c r="G15" s="13"/>
      <c r="H15" s="83" t="s">
        <v>56</v>
      </c>
      <c r="I15" s="14">
        <v>314</v>
      </c>
    </row>
    <row r="16" spans="2:9" ht="72.75" customHeight="1" x14ac:dyDescent="0.25">
      <c r="B16" s="85"/>
      <c r="C16" s="11" t="s">
        <v>398</v>
      </c>
      <c r="D16" s="32">
        <v>42736</v>
      </c>
      <c r="E16" s="32">
        <v>43070</v>
      </c>
      <c r="F16" s="23" t="s">
        <v>56</v>
      </c>
      <c r="G16" s="4"/>
      <c r="H16" s="23" t="s">
        <v>56</v>
      </c>
      <c r="I16" s="15">
        <v>350</v>
      </c>
    </row>
    <row r="17" spans="2:9" ht="72.75" customHeight="1" x14ac:dyDescent="0.25">
      <c r="B17" s="85"/>
      <c r="C17" s="11" t="s">
        <v>9</v>
      </c>
      <c r="D17" s="32">
        <v>42736</v>
      </c>
      <c r="E17" s="32">
        <v>43070</v>
      </c>
      <c r="F17" s="33" t="s">
        <v>56</v>
      </c>
      <c r="G17" s="4"/>
      <c r="H17" s="33" t="s">
        <v>56</v>
      </c>
      <c r="I17" s="15">
        <v>125</v>
      </c>
    </row>
    <row r="18" spans="2:9" ht="72.75" customHeight="1" thickBot="1" x14ac:dyDescent="0.3">
      <c r="B18" s="126"/>
      <c r="C18" s="16" t="s">
        <v>397</v>
      </c>
      <c r="D18" s="32">
        <v>42736</v>
      </c>
      <c r="E18" s="32">
        <v>43070</v>
      </c>
      <c r="F18" s="24" t="s">
        <v>56</v>
      </c>
      <c r="G18" s="17"/>
      <c r="H18" s="24" t="s">
        <v>56</v>
      </c>
      <c r="I18" s="18">
        <v>50</v>
      </c>
    </row>
    <row r="19" spans="2:9" ht="19.5" thickBot="1" x14ac:dyDescent="0.3">
      <c r="B19" s="276" t="s">
        <v>1</v>
      </c>
      <c r="C19" s="277"/>
      <c r="D19" s="277"/>
      <c r="E19" s="277"/>
      <c r="F19" s="277"/>
      <c r="G19" s="277"/>
      <c r="H19" s="278"/>
      <c r="I19" s="31">
        <f>SUM(I20:I26)</f>
        <v>19294</v>
      </c>
    </row>
    <row r="20" spans="2:9" ht="48.75" customHeight="1" x14ac:dyDescent="0.25">
      <c r="B20" s="84"/>
      <c r="C20" s="12" t="s">
        <v>410</v>
      </c>
      <c r="D20" s="263" t="s">
        <v>58</v>
      </c>
      <c r="E20" s="264"/>
      <c r="F20" s="23" t="s">
        <v>56</v>
      </c>
      <c r="G20" s="13"/>
      <c r="H20" s="23" t="s">
        <v>56</v>
      </c>
      <c r="I20" s="14">
        <v>23</v>
      </c>
    </row>
    <row r="21" spans="2:9" ht="48.75" customHeight="1" x14ac:dyDescent="0.25">
      <c r="B21" s="88"/>
      <c r="C21" s="73" t="s">
        <v>411</v>
      </c>
      <c r="D21" s="263" t="s">
        <v>58</v>
      </c>
      <c r="E21" s="264"/>
      <c r="F21" s="81" t="s">
        <v>56</v>
      </c>
      <c r="G21" s="76"/>
      <c r="H21" s="81" t="s">
        <v>56</v>
      </c>
      <c r="I21" s="77">
        <v>78</v>
      </c>
    </row>
    <row r="22" spans="2:9" ht="48.75" customHeight="1" x14ac:dyDescent="0.25">
      <c r="B22" s="85"/>
      <c r="C22" s="11" t="s">
        <v>10</v>
      </c>
      <c r="D22" s="263" t="s">
        <v>58</v>
      </c>
      <c r="E22" s="264"/>
      <c r="F22" s="23" t="s">
        <v>56</v>
      </c>
      <c r="G22" s="4"/>
      <c r="H22" s="23" t="s">
        <v>56</v>
      </c>
      <c r="I22" s="15">
        <v>14000</v>
      </c>
    </row>
    <row r="23" spans="2:9" ht="48.75" customHeight="1" x14ac:dyDescent="0.25">
      <c r="B23" s="85"/>
      <c r="C23" s="11" t="s">
        <v>41</v>
      </c>
      <c r="D23" s="263" t="s">
        <v>58</v>
      </c>
      <c r="E23" s="264"/>
      <c r="F23" s="23" t="s">
        <v>56</v>
      </c>
      <c r="G23" s="4"/>
      <c r="H23" s="23" t="s">
        <v>56</v>
      </c>
      <c r="I23" s="15">
        <v>3393</v>
      </c>
    </row>
    <row r="24" spans="2:9" ht="48.75" customHeight="1" x14ac:dyDescent="0.25">
      <c r="B24" s="85"/>
      <c r="C24" s="11" t="s">
        <v>11</v>
      </c>
      <c r="D24" s="263" t="s">
        <v>58</v>
      </c>
      <c r="E24" s="264"/>
      <c r="F24" s="23" t="s">
        <v>56</v>
      </c>
      <c r="G24" s="4"/>
      <c r="H24" s="23" t="s">
        <v>56</v>
      </c>
      <c r="I24" s="15">
        <v>213</v>
      </c>
    </row>
    <row r="25" spans="2:9" ht="48.75" customHeight="1" x14ac:dyDescent="0.25">
      <c r="B25" s="85"/>
      <c r="C25" s="11" t="s">
        <v>412</v>
      </c>
      <c r="D25" s="263" t="s">
        <v>58</v>
      </c>
      <c r="E25" s="264"/>
      <c r="F25" s="81" t="s">
        <v>56</v>
      </c>
      <c r="G25" s="4"/>
      <c r="H25" s="81" t="s">
        <v>56</v>
      </c>
      <c r="I25" s="15">
        <f>847+520</f>
        <v>1367</v>
      </c>
    </row>
    <row r="26" spans="2:9" ht="48.75" customHeight="1" thickBot="1" x14ac:dyDescent="0.3">
      <c r="B26" s="85"/>
      <c r="C26" s="11" t="s">
        <v>399</v>
      </c>
      <c r="D26" s="263" t="s">
        <v>58</v>
      </c>
      <c r="E26" s="264"/>
      <c r="F26" s="23" t="s">
        <v>56</v>
      </c>
      <c r="G26" s="4"/>
      <c r="H26" s="23" t="s">
        <v>56</v>
      </c>
      <c r="I26" s="15">
        <v>220</v>
      </c>
    </row>
    <row r="27" spans="2:9" ht="19.5" thickBot="1" x14ac:dyDescent="0.3">
      <c r="B27" s="276" t="s">
        <v>2</v>
      </c>
      <c r="C27" s="277"/>
      <c r="D27" s="277"/>
      <c r="E27" s="277"/>
      <c r="F27" s="277"/>
      <c r="G27" s="277"/>
      <c r="H27" s="278"/>
      <c r="I27" s="10">
        <f>SUM(I28:I31)</f>
        <v>4453</v>
      </c>
    </row>
    <row r="28" spans="2:9" ht="47.25" customHeight="1" x14ac:dyDescent="0.25">
      <c r="B28" s="84"/>
      <c r="C28" s="12" t="s">
        <v>12</v>
      </c>
      <c r="D28" s="287" t="s">
        <v>58</v>
      </c>
      <c r="E28" s="288"/>
      <c r="F28" s="23" t="s">
        <v>56</v>
      </c>
      <c r="G28" s="13"/>
      <c r="H28" s="23" t="s">
        <v>56</v>
      </c>
      <c r="I28" s="14">
        <v>1913</v>
      </c>
    </row>
    <row r="29" spans="2:9" ht="47.25" customHeight="1" x14ac:dyDescent="0.25">
      <c r="B29" s="85"/>
      <c r="C29" s="11" t="s">
        <v>13</v>
      </c>
      <c r="D29" s="263" t="s">
        <v>58</v>
      </c>
      <c r="E29" s="264"/>
      <c r="F29" s="23" t="s">
        <v>56</v>
      </c>
      <c r="G29" s="4"/>
      <c r="H29" s="23" t="s">
        <v>56</v>
      </c>
      <c r="I29" s="15">
        <v>500</v>
      </c>
    </row>
    <row r="30" spans="2:9" ht="47.25" customHeight="1" x14ac:dyDescent="0.25">
      <c r="B30" s="85"/>
      <c r="C30" s="11" t="s">
        <v>14</v>
      </c>
      <c r="D30" s="263" t="s">
        <v>58</v>
      </c>
      <c r="E30" s="264"/>
      <c r="F30" s="23" t="s">
        <v>56</v>
      </c>
      <c r="G30" s="4"/>
      <c r="H30" s="23" t="s">
        <v>56</v>
      </c>
      <c r="I30" s="15">
        <v>300</v>
      </c>
    </row>
    <row r="31" spans="2:9" ht="47.25" customHeight="1" thickBot="1" x14ac:dyDescent="0.3">
      <c r="B31" s="86"/>
      <c r="C31" s="19" t="s">
        <v>15</v>
      </c>
      <c r="D31" s="274" t="s">
        <v>58</v>
      </c>
      <c r="E31" s="275"/>
      <c r="F31" s="23" t="s">
        <v>56</v>
      </c>
      <c r="G31" s="17"/>
      <c r="H31" s="23" t="s">
        <v>56</v>
      </c>
      <c r="I31" s="18">
        <v>1740</v>
      </c>
    </row>
    <row r="32" spans="2:9" ht="19.5" thickBot="1" x14ac:dyDescent="0.3">
      <c r="B32" s="293" t="s">
        <v>3</v>
      </c>
      <c r="C32" s="294"/>
      <c r="D32" s="294"/>
      <c r="E32" s="294"/>
      <c r="F32" s="294"/>
      <c r="G32" s="294"/>
      <c r="H32" s="295"/>
      <c r="I32" s="30">
        <f>SUM(I33:I43)</f>
        <v>53145</v>
      </c>
    </row>
    <row r="33" spans="2:9" ht="52.5" customHeight="1" x14ac:dyDescent="0.25">
      <c r="B33" s="84"/>
      <c r="C33" s="12" t="s">
        <v>413</v>
      </c>
      <c r="D33" s="22">
        <v>2010</v>
      </c>
      <c r="E33" s="22">
        <v>2028</v>
      </c>
      <c r="F33" s="22" t="s">
        <v>56</v>
      </c>
      <c r="G33" s="22"/>
      <c r="H33" s="22" t="s">
        <v>56</v>
      </c>
      <c r="I33" s="14">
        <v>2300</v>
      </c>
    </row>
    <row r="34" spans="2:9" ht="52.5" customHeight="1" x14ac:dyDescent="0.25">
      <c r="B34" s="85"/>
      <c r="C34" s="11" t="s">
        <v>16</v>
      </c>
      <c r="D34" s="23">
        <v>2010</v>
      </c>
      <c r="E34" s="23">
        <v>2028</v>
      </c>
      <c r="F34" s="23" t="s">
        <v>56</v>
      </c>
      <c r="G34" s="23"/>
      <c r="H34" s="23" t="s">
        <v>56</v>
      </c>
      <c r="I34" s="15">
        <v>23000</v>
      </c>
    </row>
    <row r="35" spans="2:9" ht="52.5" customHeight="1" x14ac:dyDescent="0.25">
      <c r="B35" s="85"/>
      <c r="C35" s="11" t="s">
        <v>414</v>
      </c>
      <c r="D35" s="23">
        <v>2010</v>
      </c>
      <c r="E35" s="23">
        <v>2028</v>
      </c>
      <c r="F35" s="23" t="s">
        <v>56</v>
      </c>
      <c r="G35" s="4"/>
      <c r="H35" s="23" t="s">
        <v>56</v>
      </c>
      <c r="I35" s="15">
        <v>7500</v>
      </c>
    </row>
    <row r="36" spans="2:9" ht="52.5" customHeight="1" x14ac:dyDescent="0.25">
      <c r="B36" s="85"/>
      <c r="C36" s="11" t="s">
        <v>415</v>
      </c>
      <c r="D36" s="23">
        <v>2010</v>
      </c>
      <c r="E36" s="23">
        <v>2028</v>
      </c>
      <c r="F36" s="23" t="s">
        <v>56</v>
      </c>
      <c r="G36" s="4"/>
      <c r="H36" s="23" t="s">
        <v>56</v>
      </c>
      <c r="I36" s="15">
        <v>1200</v>
      </c>
    </row>
    <row r="37" spans="2:9" ht="52.5" customHeight="1" x14ac:dyDescent="0.25">
      <c r="B37" s="85"/>
      <c r="C37" s="11" t="s">
        <v>17</v>
      </c>
      <c r="D37" s="23">
        <v>2010</v>
      </c>
      <c r="E37" s="23">
        <v>2028</v>
      </c>
      <c r="F37" s="23" t="s">
        <v>56</v>
      </c>
      <c r="G37" s="4"/>
      <c r="H37" s="23" t="s">
        <v>56</v>
      </c>
      <c r="I37" s="15">
        <v>4500</v>
      </c>
    </row>
    <row r="38" spans="2:9" ht="52.5" customHeight="1" x14ac:dyDescent="0.25">
      <c r="B38" s="85"/>
      <c r="C38" s="11" t="s">
        <v>416</v>
      </c>
      <c r="D38" s="23">
        <v>2010</v>
      </c>
      <c r="E38" s="23">
        <v>2028</v>
      </c>
      <c r="F38" s="23" t="s">
        <v>56</v>
      </c>
      <c r="G38" s="4"/>
      <c r="H38" s="23" t="s">
        <v>56</v>
      </c>
      <c r="I38" s="15">
        <f>2300+600+1800</f>
        <v>4700</v>
      </c>
    </row>
    <row r="39" spans="2:9" ht="52.5" customHeight="1" x14ac:dyDescent="0.25">
      <c r="B39" s="85"/>
      <c r="C39" s="11" t="s">
        <v>18</v>
      </c>
      <c r="D39" s="23">
        <v>2010</v>
      </c>
      <c r="E39" s="23">
        <v>2028</v>
      </c>
      <c r="F39" s="23" t="s">
        <v>56</v>
      </c>
      <c r="G39" s="4"/>
      <c r="H39" s="23" t="s">
        <v>56</v>
      </c>
      <c r="I39" s="15">
        <v>4000</v>
      </c>
    </row>
    <row r="40" spans="2:9" ht="52.5" customHeight="1" x14ac:dyDescent="0.25">
      <c r="B40" s="85"/>
      <c r="C40" s="11" t="s">
        <v>19</v>
      </c>
      <c r="D40" s="23">
        <v>2010</v>
      </c>
      <c r="E40" s="23">
        <v>2028</v>
      </c>
      <c r="F40" s="23" t="s">
        <v>56</v>
      </c>
      <c r="G40" s="4"/>
      <c r="H40" s="23" t="s">
        <v>56</v>
      </c>
      <c r="I40" s="15">
        <v>1200</v>
      </c>
    </row>
    <row r="41" spans="2:9" ht="52.5" customHeight="1" x14ac:dyDescent="0.25">
      <c r="B41" s="87"/>
      <c r="C41" s="72" t="s">
        <v>417</v>
      </c>
      <c r="D41" s="69">
        <v>2010</v>
      </c>
      <c r="E41" s="69">
        <v>2028</v>
      </c>
      <c r="F41" s="69" t="s">
        <v>56</v>
      </c>
      <c r="G41" s="70"/>
      <c r="H41" s="69" t="s">
        <v>56</v>
      </c>
      <c r="I41" s="71">
        <v>1800</v>
      </c>
    </row>
    <row r="42" spans="2:9" ht="52.5" customHeight="1" x14ac:dyDescent="0.25">
      <c r="B42" s="87"/>
      <c r="C42" s="72" t="s">
        <v>418</v>
      </c>
      <c r="D42" s="69">
        <v>2010</v>
      </c>
      <c r="E42" s="69">
        <v>2028</v>
      </c>
      <c r="F42" s="69" t="s">
        <v>56</v>
      </c>
      <c r="G42" s="70"/>
      <c r="H42" s="69" t="s">
        <v>56</v>
      </c>
      <c r="I42" s="71">
        <v>2200</v>
      </c>
    </row>
    <row r="43" spans="2:9" ht="52.5" customHeight="1" thickBot="1" x14ac:dyDescent="0.3">
      <c r="B43" s="86"/>
      <c r="C43" s="19" t="s">
        <v>400</v>
      </c>
      <c r="D43" s="24">
        <v>2017</v>
      </c>
      <c r="E43" s="24">
        <v>2017</v>
      </c>
      <c r="F43" s="24" t="s">
        <v>56</v>
      </c>
      <c r="G43" s="17"/>
      <c r="H43" s="24" t="s">
        <v>56</v>
      </c>
      <c r="I43" s="18">
        <v>745</v>
      </c>
    </row>
    <row r="44" spans="2:9" ht="42" customHeight="1" thickBot="1" x14ac:dyDescent="0.3">
      <c r="B44" s="293" t="s">
        <v>4</v>
      </c>
      <c r="C44" s="294"/>
      <c r="D44" s="294"/>
      <c r="E44" s="294"/>
      <c r="F44" s="294"/>
      <c r="G44" s="294"/>
      <c r="H44" s="295"/>
      <c r="I44" s="31">
        <f>SUM(I45:I56)</f>
        <v>13055</v>
      </c>
    </row>
    <row r="45" spans="2:9" ht="48.75" customHeight="1" x14ac:dyDescent="0.25">
      <c r="B45" s="84"/>
      <c r="C45" s="12" t="s">
        <v>401</v>
      </c>
      <c r="D45" s="29">
        <v>42736</v>
      </c>
      <c r="E45" s="22" t="s">
        <v>58</v>
      </c>
      <c r="F45" s="23" t="s">
        <v>56</v>
      </c>
      <c r="G45" s="13"/>
      <c r="H45" s="23" t="s">
        <v>56</v>
      </c>
      <c r="I45" s="14">
        <v>200</v>
      </c>
    </row>
    <row r="46" spans="2:9" ht="48.75" customHeight="1" x14ac:dyDescent="0.25">
      <c r="B46" s="88"/>
      <c r="C46" s="73" t="s">
        <v>20</v>
      </c>
      <c r="D46" s="74">
        <v>41275</v>
      </c>
      <c r="E46" s="75" t="s">
        <v>58</v>
      </c>
      <c r="F46" s="68" t="s">
        <v>56</v>
      </c>
      <c r="G46" s="76"/>
      <c r="H46" s="68" t="s">
        <v>56</v>
      </c>
      <c r="I46" s="77">
        <v>950</v>
      </c>
    </row>
    <row r="47" spans="2:9" ht="48.75" customHeight="1" x14ac:dyDescent="0.25">
      <c r="B47" s="85"/>
      <c r="C47" s="11" t="s">
        <v>422</v>
      </c>
      <c r="D47" s="32">
        <v>42736</v>
      </c>
      <c r="E47" s="32">
        <v>43070</v>
      </c>
      <c r="F47" s="23" t="s">
        <v>56</v>
      </c>
      <c r="G47" s="4"/>
      <c r="H47" s="23" t="s">
        <v>56</v>
      </c>
      <c r="I47" s="15">
        <v>1500</v>
      </c>
    </row>
    <row r="48" spans="2:9" ht="48.75" customHeight="1" x14ac:dyDescent="0.25">
      <c r="B48" s="85"/>
      <c r="C48" s="11" t="s">
        <v>421</v>
      </c>
      <c r="D48" s="32">
        <v>42736</v>
      </c>
      <c r="E48" s="32">
        <v>43070</v>
      </c>
      <c r="F48" s="82" t="s">
        <v>56</v>
      </c>
      <c r="G48" s="4"/>
      <c r="H48" s="82" t="s">
        <v>56</v>
      </c>
      <c r="I48" s="15">
        <v>700</v>
      </c>
    </row>
    <row r="49" spans="2:12" ht="48.75" customHeight="1" x14ac:dyDescent="0.25">
      <c r="B49" s="85"/>
      <c r="C49" s="11" t="s">
        <v>420</v>
      </c>
      <c r="D49" s="32">
        <v>42736</v>
      </c>
      <c r="E49" s="32">
        <v>43070</v>
      </c>
      <c r="F49" s="82" t="s">
        <v>56</v>
      </c>
      <c r="G49" s="4"/>
      <c r="H49" s="82" t="s">
        <v>56</v>
      </c>
      <c r="I49" s="15">
        <v>800</v>
      </c>
      <c r="L49" t="s">
        <v>508</v>
      </c>
    </row>
    <row r="50" spans="2:12" ht="48.75" customHeight="1" x14ac:dyDescent="0.25">
      <c r="B50" s="85"/>
      <c r="C50" s="11" t="s">
        <v>21</v>
      </c>
      <c r="D50" s="32">
        <v>42156</v>
      </c>
      <c r="E50" s="32">
        <v>43435</v>
      </c>
      <c r="F50" s="23" t="s">
        <v>56</v>
      </c>
      <c r="G50" s="4"/>
      <c r="H50" s="23" t="s">
        <v>56</v>
      </c>
      <c r="I50" s="15">
        <v>276</v>
      </c>
    </row>
    <row r="51" spans="2:12" ht="48.75" customHeight="1" x14ac:dyDescent="0.25">
      <c r="B51" s="85"/>
      <c r="C51" s="11" t="s">
        <v>22</v>
      </c>
      <c r="D51" s="263" t="s">
        <v>58</v>
      </c>
      <c r="E51" s="264"/>
      <c r="F51" s="23" t="s">
        <v>56</v>
      </c>
      <c r="G51" s="4"/>
      <c r="H51" s="23" t="s">
        <v>56</v>
      </c>
      <c r="I51" s="15">
        <v>2341</v>
      </c>
    </row>
    <row r="52" spans="2:12" ht="48.75" customHeight="1" x14ac:dyDescent="0.25">
      <c r="B52" s="85"/>
      <c r="C52" s="11" t="s">
        <v>419</v>
      </c>
      <c r="D52" s="32">
        <v>42736</v>
      </c>
      <c r="E52" s="32">
        <v>43070</v>
      </c>
      <c r="F52" s="23" t="s">
        <v>56</v>
      </c>
      <c r="G52" s="4"/>
      <c r="H52" s="23" t="s">
        <v>56</v>
      </c>
      <c r="I52" s="15">
        <v>550</v>
      </c>
    </row>
    <row r="53" spans="2:12" ht="48.75" customHeight="1" x14ac:dyDescent="0.25">
      <c r="B53" s="85"/>
      <c r="C53" s="11" t="s">
        <v>23</v>
      </c>
      <c r="D53" s="263" t="s">
        <v>58</v>
      </c>
      <c r="E53" s="264"/>
      <c r="F53" s="23" t="s">
        <v>56</v>
      </c>
      <c r="G53" s="4"/>
      <c r="H53" s="23" t="s">
        <v>56</v>
      </c>
      <c r="I53" s="15">
        <v>2209</v>
      </c>
    </row>
    <row r="54" spans="2:12" ht="48.75" customHeight="1" x14ac:dyDescent="0.25">
      <c r="B54" s="85"/>
      <c r="C54" s="11" t="s">
        <v>24</v>
      </c>
      <c r="D54" s="32">
        <v>41426</v>
      </c>
      <c r="E54" s="23" t="s">
        <v>58</v>
      </c>
      <c r="F54" s="23" t="s">
        <v>56</v>
      </c>
      <c r="G54" s="4"/>
      <c r="H54" s="23" t="s">
        <v>56</v>
      </c>
      <c r="I54" s="15">
        <v>250</v>
      </c>
    </row>
    <row r="55" spans="2:12" ht="48.75" customHeight="1" x14ac:dyDescent="0.25">
      <c r="B55" s="85"/>
      <c r="C55" s="11" t="s">
        <v>423</v>
      </c>
      <c r="D55" s="263" t="s">
        <v>58</v>
      </c>
      <c r="E55" s="264"/>
      <c r="F55" s="23" t="s">
        <v>56</v>
      </c>
      <c r="G55" s="4"/>
      <c r="H55" s="23" t="s">
        <v>56</v>
      </c>
      <c r="I55" s="15">
        <v>187</v>
      </c>
    </row>
    <row r="56" spans="2:12" ht="48.75" customHeight="1" thickBot="1" x14ac:dyDescent="0.3">
      <c r="B56" s="86"/>
      <c r="C56" s="19" t="s">
        <v>42</v>
      </c>
      <c r="D56" s="270" t="s">
        <v>58</v>
      </c>
      <c r="E56" s="271"/>
      <c r="F56" s="23" t="s">
        <v>56</v>
      </c>
      <c r="G56" s="17"/>
      <c r="H56" s="23" t="s">
        <v>56</v>
      </c>
      <c r="I56" s="18">
        <v>3092</v>
      </c>
    </row>
    <row r="57" spans="2:12" ht="19.5" thickBot="1" x14ac:dyDescent="0.3">
      <c r="B57" s="276" t="s">
        <v>5</v>
      </c>
      <c r="C57" s="277"/>
      <c r="D57" s="277"/>
      <c r="E57" s="277"/>
      <c r="F57" s="277"/>
      <c r="G57" s="277"/>
      <c r="H57" s="278"/>
      <c r="I57" s="10">
        <f>SUM(I58:I65)</f>
        <v>1105</v>
      </c>
    </row>
    <row r="58" spans="2:12" ht="45" customHeight="1" thickBot="1" x14ac:dyDescent="0.3">
      <c r="B58" s="84"/>
      <c r="C58" s="12" t="s">
        <v>25</v>
      </c>
      <c r="D58" s="260" t="s">
        <v>58</v>
      </c>
      <c r="E58" s="261"/>
      <c r="F58" s="23" t="s">
        <v>56</v>
      </c>
      <c r="G58" s="13"/>
      <c r="H58" s="23" t="s">
        <v>56</v>
      </c>
      <c r="I58" s="14">
        <v>400</v>
      </c>
    </row>
    <row r="59" spans="2:12" ht="45" customHeight="1" x14ac:dyDescent="0.25">
      <c r="B59" s="88"/>
      <c r="C59" s="12" t="s">
        <v>402</v>
      </c>
      <c r="D59" s="260" t="s">
        <v>58</v>
      </c>
      <c r="E59" s="261"/>
      <c r="F59" s="68" t="s">
        <v>56</v>
      </c>
      <c r="G59" s="76"/>
      <c r="H59" s="68" t="s">
        <v>56</v>
      </c>
      <c r="I59" s="77">
        <v>100</v>
      </c>
    </row>
    <row r="60" spans="2:12" ht="45" customHeight="1" x14ac:dyDescent="0.25">
      <c r="B60" s="85"/>
      <c r="C60" s="11" t="s">
        <v>26</v>
      </c>
      <c r="D60" s="260" t="s">
        <v>58</v>
      </c>
      <c r="E60" s="261"/>
      <c r="F60" s="23" t="s">
        <v>56</v>
      </c>
      <c r="G60" s="4"/>
      <c r="H60" s="23" t="s">
        <v>56</v>
      </c>
      <c r="I60" s="15">
        <v>200</v>
      </c>
    </row>
    <row r="61" spans="2:12" ht="45" customHeight="1" x14ac:dyDescent="0.25">
      <c r="B61" s="85"/>
      <c r="C61" s="11" t="s">
        <v>27</v>
      </c>
      <c r="D61" s="260" t="s">
        <v>58</v>
      </c>
      <c r="E61" s="261"/>
      <c r="F61" s="23" t="s">
        <v>56</v>
      </c>
      <c r="G61" s="4"/>
      <c r="H61" s="23" t="s">
        <v>56</v>
      </c>
      <c r="I61" s="15">
        <v>195</v>
      </c>
    </row>
    <row r="62" spans="2:12" ht="45" customHeight="1" x14ac:dyDescent="0.25">
      <c r="B62" s="85"/>
      <c r="C62" s="11" t="s">
        <v>28</v>
      </c>
      <c r="D62" s="260" t="s">
        <v>58</v>
      </c>
      <c r="E62" s="261"/>
      <c r="F62" s="23" t="s">
        <v>56</v>
      </c>
      <c r="G62" s="4"/>
      <c r="H62" s="23" t="s">
        <v>56</v>
      </c>
      <c r="I62" s="15">
        <v>40</v>
      </c>
    </row>
    <row r="63" spans="2:12" ht="45" customHeight="1" x14ac:dyDescent="0.25">
      <c r="B63" s="85"/>
      <c r="C63" s="11" t="s">
        <v>29</v>
      </c>
      <c r="D63" s="260" t="s">
        <v>58</v>
      </c>
      <c r="E63" s="261"/>
      <c r="F63" s="23" t="s">
        <v>56</v>
      </c>
      <c r="G63" s="4"/>
      <c r="H63" s="23" t="s">
        <v>56</v>
      </c>
      <c r="I63" s="15">
        <v>20</v>
      </c>
    </row>
    <row r="64" spans="2:12" ht="45" customHeight="1" x14ac:dyDescent="0.25">
      <c r="B64" s="85"/>
      <c r="C64" s="11" t="s">
        <v>30</v>
      </c>
      <c r="D64" s="260" t="s">
        <v>58</v>
      </c>
      <c r="E64" s="261"/>
      <c r="F64" s="23" t="s">
        <v>56</v>
      </c>
      <c r="G64" s="4"/>
      <c r="H64" s="23" t="s">
        <v>56</v>
      </c>
      <c r="I64" s="15">
        <v>80</v>
      </c>
    </row>
    <row r="65" spans="2:9" ht="45" customHeight="1" thickBot="1" x14ac:dyDescent="0.3">
      <c r="B65" s="87"/>
      <c r="C65" s="72" t="s">
        <v>403</v>
      </c>
      <c r="D65" s="32">
        <v>42736</v>
      </c>
      <c r="E65" s="32">
        <v>43069</v>
      </c>
      <c r="F65" s="68" t="s">
        <v>56</v>
      </c>
      <c r="G65" s="70"/>
      <c r="H65" s="68" t="s">
        <v>56</v>
      </c>
      <c r="I65" s="71">
        <v>70</v>
      </c>
    </row>
    <row r="66" spans="2:9" ht="19.5" thickBot="1" x14ac:dyDescent="0.3">
      <c r="B66" s="281" t="s">
        <v>6</v>
      </c>
      <c r="C66" s="282"/>
      <c r="D66" s="282"/>
      <c r="E66" s="282"/>
      <c r="F66" s="282"/>
      <c r="G66" s="282"/>
      <c r="H66" s="283"/>
      <c r="I66" s="30">
        <f>SUM(I67:I74)</f>
        <v>6482</v>
      </c>
    </row>
    <row r="67" spans="2:9" ht="51.75" customHeight="1" x14ac:dyDescent="0.25">
      <c r="B67" s="84"/>
      <c r="C67" s="12" t="s">
        <v>31</v>
      </c>
      <c r="D67" s="280" t="s">
        <v>58</v>
      </c>
      <c r="E67" s="280"/>
      <c r="F67" s="22" t="s">
        <v>56</v>
      </c>
      <c r="G67" s="13"/>
      <c r="H67" s="22" t="s">
        <v>56</v>
      </c>
      <c r="I67" s="14">
        <v>4416</v>
      </c>
    </row>
    <row r="68" spans="2:9" ht="51.75" customHeight="1" x14ac:dyDescent="0.25">
      <c r="B68" s="85"/>
      <c r="C68" s="11" t="s">
        <v>404</v>
      </c>
      <c r="D68" s="279" t="s">
        <v>58</v>
      </c>
      <c r="E68" s="279"/>
      <c r="F68" s="23" t="s">
        <v>56</v>
      </c>
      <c r="G68" s="4"/>
      <c r="H68" s="23" t="s">
        <v>56</v>
      </c>
      <c r="I68" s="15">
        <v>598</v>
      </c>
    </row>
    <row r="69" spans="2:9" ht="51.75" customHeight="1" x14ac:dyDescent="0.25">
      <c r="B69" s="85"/>
      <c r="C69" s="11" t="s">
        <v>43</v>
      </c>
      <c r="D69" s="279" t="s">
        <v>58</v>
      </c>
      <c r="E69" s="279"/>
      <c r="F69" s="23" t="s">
        <v>56</v>
      </c>
      <c r="G69" s="4"/>
      <c r="H69" s="23" t="s">
        <v>56</v>
      </c>
      <c r="I69" s="15">
        <v>362</v>
      </c>
    </row>
    <row r="70" spans="2:9" ht="51.75" customHeight="1" x14ac:dyDescent="0.25">
      <c r="B70" s="85"/>
      <c r="C70" s="11" t="s">
        <v>44</v>
      </c>
      <c r="D70" s="279" t="s">
        <v>58</v>
      </c>
      <c r="E70" s="279"/>
      <c r="F70" s="23" t="s">
        <v>56</v>
      </c>
      <c r="G70" s="4"/>
      <c r="H70" s="23" t="s">
        <v>56</v>
      </c>
      <c r="I70" s="15">
        <v>545</v>
      </c>
    </row>
    <row r="71" spans="2:9" ht="51.75" customHeight="1" x14ac:dyDescent="0.25">
      <c r="B71" s="85"/>
      <c r="C71" s="11" t="s">
        <v>45</v>
      </c>
      <c r="D71" s="279" t="s">
        <v>58</v>
      </c>
      <c r="E71" s="279"/>
      <c r="F71" s="23" t="s">
        <v>56</v>
      </c>
      <c r="G71" s="4"/>
      <c r="H71" s="23" t="s">
        <v>56</v>
      </c>
      <c r="I71" s="15">
        <v>37</v>
      </c>
    </row>
    <row r="72" spans="2:9" ht="51.75" customHeight="1" x14ac:dyDescent="0.25">
      <c r="B72" s="85"/>
      <c r="C72" s="11" t="s">
        <v>46</v>
      </c>
      <c r="D72" s="279" t="s">
        <v>58</v>
      </c>
      <c r="E72" s="279"/>
      <c r="F72" s="23" t="s">
        <v>56</v>
      </c>
      <c r="G72" s="4"/>
      <c r="H72" s="23" t="s">
        <v>56</v>
      </c>
      <c r="I72" s="15">
        <v>18</v>
      </c>
    </row>
    <row r="73" spans="2:9" ht="51.75" customHeight="1" x14ac:dyDescent="0.25">
      <c r="B73" s="85"/>
      <c r="C73" s="11" t="s">
        <v>55</v>
      </c>
      <c r="D73" s="35">
        <v>2015</v>
      </c>
      <c r="E73" s="35">
        <v>2018</v>
      </c>
      <c r="F73" s="23" t="s">
        <v>56</v>
      </c>
      <c r="G73" s="4"/>
      <c r="H73" s="23" t="s">
        <v>56</v>
      </c>
      <c r="I73" s="15">
        <v>135</v>
      </c>
    </row>
    <row r="74" spans="2:9" ht="51.75" customHeight="1" thickBot="1" x14ac:dyDescent="0.3">
      <c r="B74" s="86"/>
      <c r="C74" s="19" t="s">
        <v>409</v>
      </c>
      <c r="D74" s="270" t="s">
        <v>58</v>
      </c>
      <c r="E74" s="271"/>
      <c r="F74" s="24" t="s">
        <v>56</v>
      </c>
      <c r="G74" s="17"/>
      <c r="H74" s="24" t="s">
        <v>56</v>
      </c>
      <c r="I74" s="18">
        <v>371</v>
      </c>
    </row>
    <row r="75" spans="2:9" ht="19.5" thickBot="1" x14ac:dyDescent="0.35">
      <c r="B75" s="291" t="s">
        <v>7</v>
      </c>
      <c r="C75" s="292"/>
      <c r="D75" s="59"/>
      <c r="E75" s="59"/>
      <c r="F75" s="59"/>
      <c r="G75" s="59"/>
      <c r="H75" s="59"/>
      <c r="I75" s="61">
        <f>SUM(I76:I81)</f>
        <v>1920</v>
      </c>
    </row>
    <row r="76" spans="2:9" ht="27" customHeight="1" x14ac:dyDescent="0.25">
      <c r="B76" s="84"/>
      <c r="C76" s="55" t="s">
        <v>427</v>
      </c>
      <c r="D76" s="79">
        <v>42704</v>
      </c>
      <c r="E76" s="62" t="s">
        <v>251</v>
      </c>
      <c r="F76" s="63" t="s">
        <v>56</v>
      </c>
      <c r="G76" s="13"/>
      <c r="H76" s="22" t="s">
        <v>56</v>
      </c>
      <c r="I76" s="14">
        <v>290</v>
      </c>
    </row>
    <row r="77" spans="2:9" ht="27" customHeight="1" x14ac:dyDescent="0.25">
      <c r="B77" s="88"/>
      <c r="C77" s="78" t="s">
        <v>407</v>
      </c>
      <c r="D77" s="80">
        <v>42736</v>
      </c>
      <c r="E77" s="60">
        <v>43070</v>
      </c>
      <c r="F77" s="67" t="s">
        <v>56</v>
      </c>
      <c r="G77" s="76"/>
      <c r="H77" s="75" t="s">
        <v>56</v>
      </c>
      <c r="I77" s="77">
        <v>150</v>
      </c>
    </row>
    <row r="78" spans="2:9" ht="27" customHeight="1" x14ac:dyDescent="0.25">
      <c r="B78" s="88"/>
      <c r="C78" s="78" t="s">
        <v>406</v>
      </c>
      <c r="D78" s="60">
        <v>42736</v>
      </c>
      <c r="E78" s="60">
        <v>43070</v>
      </c>
      <c r="F78" s="67" t="s">
        <v>56</v>
      </c>
      <c r="G78" s="76"/>
      <c r="H78" s="75" t="s">
        <v>56</v>
      </c>
      <c r="I78" s="77">
        <v>600</v>
      </c>
    </row>
    <row r="79" spans="2:9" ht="27" customHeight="1" x14ac:dyDescent="0.25">
      <c r="B79" s="85"/>
      <c r="C79" s="56" t="s">
        <v>32</v>
      </c>
      <c r="D79" s="60">
        <v>42736</v>
      </c>
      <c r="E79" s="60">
        <v>43070</v>
      </c>
      <c r="F79" s="58" t="s">
        <v>56</v>
      </c>
      <c r="G79" s="4"/>
      <c r="H79" s="23" t="s">
        <v>56</v>
      </c>
      <c r="I79" s="15">
        <v>200</v>
      </c>
    </row>
    <row r="80" spans="2:9" ht="27" customHeight="1" x14ac:dyDescent="0.25">
      <c r="B80" s="85"/>
      <c r="C80" s="56" t="s">
        <v>33</v>
      </c>
      <c r="D80" s="60">
        <v>42736</v>
      </c>
      <c r="E80" s="60">
        <v>43070</v>
      </c>
      <c r="F80" s="58" t="s">
        <v>56</v>
      </c>
      <c r="G80" s="4"/>
      <c r="H80" s="23" t="s">
        <v>56</v>
      </c>
      <c r="I80" s="15">
        <v>280</v>
      </c>
    </row>
    <row r="81" spans="2:9" ht="27" customHeight="1" thickBot="1" x14ac:dyDescent="0.3">
      <c r="B81" s="86"/>
      <c r="C81" s="57" t="s">
        <v>34</v>
      </c>
      <c r="D81" s="64">
        <v>2017</v>
      </c>
      <c r="E81" s="64" t="s">
        <v>58</v>
      </c>
      <c r="F81" s="65" t="s">
        <v>56</v>
      </c>
      <c r="G81" s="17"/>
      <c r="H81" s="24" t="s">
        <v>56</v>
      </c>
      <c r="I81" s="18">
        <v>400</v>
      </c>
    </row>
    <row r="82" spans="2:9" ht="19.5" thickBot="1" x14ac:dyDescent="0.3">
      <c r="B82" s="284" t="s">
        <v>8</v>
      </c>
      <c r="C82" s="285"/>
      <c r="D82" s="285"/>
      <c r="E82" s="285"/>
      <c r="F82" s="285"/>
      <c r="G82" s="285"/>
      <c r="H82" s="286"/>
      <c r="I82" s="61">
        <f>SUM(I83:I89)</f>
        <v>39911</v>
      </c>
    </row>
    <row r="83" spans="2:9" ht="44.25" customHeight="1" x14ac:dyDescent="0.25">
      <c r="B83" s="84"/>
      <c r="C83" s="12" t="s">
        <v>35</v>
      </c>
      <c r="D83" s="287" t="s">
        <v>58</v>
      </c>
      <c r="E83" s="288"/>
      <c r="F83" s="22" t="s">
        <v>56</v>
      </c>
      <c r="G83" s="13"/>
      <c r="H83" s="22" t="s">
        <v>56</v>
      </c>
      <c r="I83" s="14">
        <v>5800</v>
      </c>
    </row>
    <row r="84" spans="2:9" ht="44.25" customHeight="1" x14ac:dyDescent="0.25">
      <c r="B84" s="85"/>
      <c r="C84" s="11" t="s">
        <v>36</v>
      </c>
      <c r="D84" s="263" t="s">
        <v>58</v>
      </c>
      <c r="E84" s="264"/>
      <c r="F84" s="23" t="s">
        <v>56</v>
      </c>
      <c r="G84" s="4"/>
      <c r="H84" s="23" t="s">
        <v>56</v>
      </c>
      <c r="I84" s="15">
        <v>1599</v>
      </c>
    </row>
    <row r="85" spans="2:9" ht="44.25" customHeight="1" x14ac:dyDescent="0.25">
      <c r="B85" s="85"/>
      <c r="C85" s="11" t="s">
        <v>37</v>
      </c>
      <c r="D85" s="263" t="s">
        <v>58</v>
      </c>
      <c r="E85" s="264"/>
      <c r="F85" s="23" t="s">
        <v>56</v>
      </c>
      <c r="G85" s="4"/>
      <c r="H85" s="23" t="s">
        <v>56</v>
      </c>
      <c r="I85" s="15">
        <v>791</v>
      </c>
    </row>
    <row r="86" spans="2:9" ht="44.25" customHeight="1" x14ac:dyDescent="0.25">
      <c r="B86" s="85"/>
      <c r="C86" s="11" t="s">
        <v>405</v>
      </c>
      <c r="D86" s="68">
        <v>2017</v>
      </c>
      <c r="E86" s="68" t="s">
        <v>58</v>
      </c>
      <c r="F86" s="68" t="s">
        <v>56</v>
      </c>
      <c r="G86" s="4"/>
      <c r="H86" s="68" t="s">
        <v>56</v>
      </c>
      <c r="I86" s="15">
        <v>258</v>
      </c>
    </row>
    <row r="87" spans="2:9" ht="44.25" customHeight="1" x14ac:dyDescent="0.25">
      <c r="B87" s="85"/>
      <c r="C87" s="11" t="s">
        <v>38</v>
      </c>
      <c r="D87" s="263" t="s">
        <v>58</v>
      </c>
      <c r="E87" s="264"/>
      <c r="F87" s="23" t="s">
        <v>56</v>
      </c>
      <c r="G87" s="4"/>
      <c r="H87" s="23" t="s">
        <v>56</v>
      </c>
      <c r="I87" s="15">
        <v>31000</v>
      </c>
    </row>
    <row r="88" spans="2:9" ht="44.25" customHeight="1" x14ac:dyDescent="0.25">
      <c r="B88" s="85"/>
      <c r="C88" s="11" t="s">
        <v>40</v>
      </c>
      <c r="D88" s="23">
        <v>2011</v>
      </c>
      <c r="E88" s="23" t="s">
        <v>58</v>
      </c>
      <c r="F88" s="23" t="s">
        <v>56</v>
      </c>
      <c r="G88" s="4"/>
      <c r="H88" s="23" t="s">
        <v>56</v>
      </c>
      <c r="I88" s="15">
        <v>390</v>
      </c>
    </row>
    <row r="89" spans="2:9" ht="44.25" customHeight="1" thickBot="1" x14ac:dyDescent="0.3">
      <c r="B89" s="86"/>
      <c r="C89" s="19" t="s">
        <v>39</v>
      </c>
      <c r="D89" s="270" t="s">
        <v>58</v>
      </c>
      <c r="E89" s="271"/>
      <c r="F89" s="24" t="s">
        <v>56</v>
      </c>
      <c r="G89" s="17"/>
      <c r="H89" s="24" t="s">
        <v>56</v>
      </c>
      <c r="I89" s="18">
        <v>73</v>
      </c>
    </row>
    <row r="90" spans="2:9" ht="19.5" thickBot="1" x14ac:dyDescent="0.3">
      <c r="B90" s="276" t="s">
        <v>57</v>
      </c>
      <c r="C90" s="277"/>
      <c r="D90" s="277"/>
      <c r="E90" s="277"/>
      <c r="F90" s="277"/>
      <c r="G90" s="277"/>
      <c r="H90" s="278"/>
      <c r="I90" s="10">
        <f>SUM(I91)</f>
        <v>1650</v>
      </c>
    </row>
    <row r="91" spans="2:9" ht="16.5" thickBot="1" x14ac:dyDescent="0.3">
      <c r="B91" s="127"/>
      <c r="C91" s="25" t="s">
        <v>509</v>
      </c>
      <c r="D91" s="34">
        <v>2017</v>
      </c>
      <c r="E91" s="34" t="s">
        <v>59</v>
      </c>
      <c r="F91" s="28" t="s">
        <v>56</v>
      </c>
      <c r="G91" s="26"/>
      <c r="H91" s="23" t="s">
        <v>56</v>
      </c>
      <c r="I91" s="27">
        <v>1650</v>
      </c>
    </row>
    <row r="92" spans="2:9" ht="21.75" thickBot="1" x14ac:dyDescent="0.3">
      <c r="B92" s="289" t="s">
        <v>49</v>
      </c>
      <c r="C92" s="290"/>
      <c r="D92" s="290"/>
      <c r="E92" s="290"/>
      <c r="F92" s="20"/>
      <c r="G92" s="20"/>
      <c r="H92" s="20"/>
      <c r="I92" s="21">
        <f>+I82+I75+I66+I57+I44+I32+I27+I19+I12+I90</f>
        <v>142134</v>
      </c>
    </row>
  </sheetData>
  <mergeCells count="50">
    <mergeCell ref="B92:E92"/>
    <mergeCell ref="D22:E22"/>
    <mergeCell ref="D23:E23"/>
    <mergeCell ref="D24:E24"/>
    <mergeCell ref="D26:E26"/>
    <mergeCell ref="D28:E28"/>
    <mergeCell ref="D29:E29"/>
    <mergeCell ref="D30:E30"/>
    <mergeCell ref="B75:C75"/>
    <mergeCell ref="B27:H27"/>
    <mergeCell ref="B32:H32"/>
    <mergeCell ref="B44:H44"/>
    <mergeCell ref="D51:E51"/>
    <mergeCell ref="D53:E53"/>
    <mergeCell ref="D55:E55"/>
    <mergeCell ref="D74:E74"/>
    <mergeCell ref="B90:H90"/>
    <mergeCell ref="B82:H82"/>
    <mergeCell ref="D83:E83"/>
    <mergeCell ref="D84:E84"/>
    <mergeCell ref="D85:E85"/>
    <mergeCell ref="D60:E60"/>
    <mergeCell ref="D61:E61"/>
    <mergeCell ref="D62:E62"/>
    <mergeCell ref="D87:E87"/>
    <mergeCell ref="D89:E89"/>
    <mergeCell ref="D64:E64"/>
    <mergeCell ref="D72:E72"/>
    <mergeCell ref="D67:E67"/>
    <mergeCell ref="D68:E68"/>
    <mergeCell ref="B66:H66"/>
    <mergeCell ref="D69:E69"/>
    <mergeCell ref="D70:E70"/>
    <mergeCell ref="D71:E71"/>
    <mergeCell ref="D63:E63"/>
    <mergeCell ref="B2:I2"/>
    <mergeCell ref="B3:I3"/>
    <mergeCell ref="D31:E31"/>
    <mergeCell ref="D58:E58"/>
    <mergeCell ref="B12:H12"/>
    <mergeCell ref="B19:H19"/>
    <mergeCell ref="B57:H57"/>
    <mergeCell ref="D59:E59"/>
    <mergeCell ref="B5:I7"/>
    <mergeCell ref="D20:E20"/>
    <mergeCell ref="D21:E21"/>
    <mergeCell ref="D25:E25"/>
    <mergeCell ref="F10:H10"/>
    <mergeCell ref="B11:C11"/>
    <mergeCell ref="D56:E56"/>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3"/>
  <sheetViews>
    <sheetView showGridLines="0" zoomScale="120" zoomScaleNormal="120" workbookViewId="0"/>
  </sheetViews>
  <sheetFormatPr baseColWidth="10" defaultRowHeight="15" x14ac:dyDescent="0.25"/>
  <cols>
    <col min="2" max="2" width="61.5703125" customWidth="1"/>
    <col min="3" max="3" width="4.28515625" customWidth="1"/>
    <col min="4" max="4" width="25.7109375" customWidth="1"/>
  </cols>
  <sheetData>
    <row r="2" spans="2:4" ht="26.25" x14ac:dyDescent="0.4">
      <c r="B2" s="296" t="s">
        <v>195</v>
      </c>
      <c r="C2" s="296"/>
      <c r="D2" s="296"/>
    </row>
    <row r="3" spans="2:4" ht="18.75" x14ac:dyDescent="0.3">
      <c r="B3" s="297" t="s">
        <v>431</v>
      </c>
      <c r="C3" s="297"/>
      <c r="D3" s="297"/>
    </row>
    <row r="4" spans="2:4" ht="18.75" x14ac:dyDescent="0.3">
      <c r="B4" s="297" t="s">
        <v>61</v>
      </c>
      <c r="C4" s="297"/>
      <c r="D4" s="297"/>
    </row>
    <row r="5" spans="2:4" x14ac:dyDescent="0.25">
      <c r="B5" s="298" t="s">
        <v>432</v>
      </c>
      <c r="C5" s="298"/>
      <c r="D5" s="298"/>
    </row>
    <row r="6" spans="2:4" x14ac:dyDescent="0.25">
      <c r="B6" s="298" t="s">
        <v>443</v>
      </c>
      <c r="C6" s="298"/>
      <c r="D6" s="298"/>
    </row>
    <row r="7" spans="2:4" ht="15.75" thickBot="1" x14ac:dyDescent="0.3">
      <c r="B7" s="36"/>
      <c r="C7" s="36"/>
      <c r="D7" s="36"/>
    </row>
    <row r="8" spans="2:4" x14ac:dyDescent="0.25">
      <c r="B8" s="37" t="s">
        <v>62</v>
      </c>
      <c r="C8" s="38"/>
      <c r="D8" s="37" t="s">
        <v>437</v>
      </c>
    </row>
    <row r="9" spans="2:4" x14ac:dyDescent="0.25">
      <c r="B9" s="39" t="s">
        <v>63</v>
      </c>
      <c r="C9" s="36"/>
      <c r="D9" s="40">
        <f>D10+D17+D19+D21+D23+D40+D45</f>
        <v>498158983265.79999</v>
      </c>
    </row>
    <row r="10" spans="2:4" x14ac:dyDescent="0.25">
      <c r="B10" s="39" t="s">
        <v>64</v>
      </c>
      <c r="C10" s="36"/>
      <c r="D10" s="40">
        <f>SUM(D11:D16)</f>
        <v>441247065640.41998</v>
      </c>
    </row>
    <row r="11" spans="2:4" x14ac:dyDescent="0.25">
      <c r="B11" s="41" t="s">
        <v>65</v>
      </c>
      <c r="C11" s="36"/>
      <c r="D11" s="117">
        <v>178042838578.26001</v>
      </c>
    </row>
    <row r="12" spans="2:4" x14ac:dyDescent="0.25">
      <c r="B12" s="41" t="s">
        <v>66</v>
      </c>
      <c r="C12" s="36"/>
      <c r="D12" s="117">
        <v>1610105945</v>
      </c>
    </row>
    <row r="13" spans="2:4" x14ac:dyDescent="0.25">
      <c r="B13" s="41" t="s">
        <v>67</v>
      </c>
      <c r="C13" s="36"/>
      <c r="D13" s="117">
        <v>175169360476.67999</v>
      </c>
    </row>
    <row r="14" spans="2:4" x14ac:dyDescent="0.25">
      <c r="B14" s="41" t="s">
        <v>68</v>
      </c>
      <c r="C14" s="36"/>
      <c r="D14" s="117">
        <v>41321497982.860001</v>
      </c>
    </row>
    <row r="15" spans="2:4" x14ac:dyDescent="0.25">
      <c r="B15" s="41" t="s">
        <v>69</v>
      </c>
      <c r="C15" s="36"/>
      <c r="D15" s="117">
        <v>82900169</v>
      </c>
    </row>
    <row r="16" spans="2:4" x14ac:dyDescent="0.25">
      <c r="B16" s="41" t="s">
        <v>70</v>
      </c>
      <c r="C16" s="36"/>
      <c r="D16" s="117">
        <v>45020362488.620003</v>
      </c>
    </row>
    <row r="17" spans="2:4" x14ac:dyDescent="0.25">
      <c r="B17" s="39" t="s">
        <v>71</v>
      </c>
      <c r="C17" s="36"/>
      <c r="D17" s="40">
        <f>SUM(D18)</f>
        <v>5660569041.5</v>
      </c>
    </row>
    <row r="18" spans="2:4" x14ac:dyDescent="0.25">
      <c r="B18" s="41" t="s">
        <v>72</v>
      </c>
      <c r="C18" s="36"/>
      <c r="D18" s="117">
        <v>5660569041.5</v>
      </c>
    </row>
    <row r="19" spans="2:4" x14ac:dyDescent="0.25">
      <c r="B19" s="39" t="s">
        <v>73</v>
      </c>
      <c r="C19" s="36"/>
      <c r="D19" s="40">
        <f>SUM(D20)</f>
        <v>15439489462</v>
      </c>
    </row>
    <row r="20" spans="2:4" x14ac:dyDescent="0.25">
      <c r="B20" s="41" t="s">
        <v>74</v>
      </c>
      <c r="C20" s="36"/>
      <c r="D20" s="117">
        <v>15439489462</v>
      </c>
    </row>
    <row r="21" spans="2:4" x14ac:dyDescent="0.25">
      <c r="B21" s="39" t="s">
        <v>75</v>
      </c>
      <c r="C21" s="36"/>
      <c r="D21" s="40">
        <f>SUM(D22)</f>
        <v>4138534385</v>
      </c>
    </row>
    <row r="22" spans="2:4" x14ac:dyDescent="0.25">
      <c r="B22" s="41" t="s">
        <v>76</v>
      </c>
      <c r="C22" s="36"/>
      <c r="D22" s="117">
        <f>138534385+4000000000</f>
        <v>4138534385</v>
      </c>
    </row>
    <row r="23" spans="2:4" x14ac:dyDescent="0.25">
      <c r="B23" s="39" t="s">
        <v>77</v>
      </c>
      <c r="C23" s="36"/>
      <c r="D23" s="40">
        <f>SUM(D24:D39)</f>
        <v>10361035268.880001</v>
      </c>
    </row>
    <row r="24" spans="2:4" x14ac:dyDescent="0.25">
      <c r="B24" s="41" t="s">
        <v>78</v>
      </c>
      <c r="C24" s="36"/>
      <c r="D24" s="117">
        <v>11450030</v>
      </c>
    </row>
    <row r="25" spans="2:4" x14ac:dyDescent="0.25">
      <c r="B25" s="41" t="s">
        <v>79</v>
      </c>
      <c r="C25" s="36"/>
      <c r="D25" s="117">
        <v>53195680</v>
      </c>
    </row>
    <row r="26" spans="2:4" x14ac:dyDescent="0.25">
      <c r="B26" s="41" t="s">
        <v>80</v>
      </c>
      <c r="C26" s="36"/>
      <c r="D26" s="117">
        <v>114627522</v>
      </c>
    </row>
    <row r="27" spans="2:4" x14ac:dyDescent="0.25">
      <c r="B27" s="41" t="s">
        <v>81</v>
      </c>
      <c r="C27" s="36"/>
      <c r="D27" s="117">
        <v>9600000</v>
      </c>
    </row>
    <row r="28" spans="2:4" x14ac:dyDescent="0.25">
      <c r="B28" s="41" t="s">
        <v>82</v>
      </c>
      <c r="C28" s="36"/>
      <c r="D28" s="117">
        <v>370000000</v>
      </c>
    </row>
    <row r="29" spans="2:4" x14ac:dyDescent="0.25">
      <c r="B29" s="41" t="s">
        <v>83</v>
      </c>
      <c r="C29" s="36"/>
      <c r="D29" s="117">
        <v>3216160000</v>
      </c>
    </row>
    <row r="30" spans="2:4" x14ac:dyDescent="0.25">
      <c r="B30" s="41" t="s">
        <v>84</v>
      </c>
      <c r="C30" s="36"/>
      <c r="D30" s="117">
        <v>127000000</v>
      </c>
    </row>
    <row r="31" spans="2:4" x14ac:dyDescent="0.25">
      <c r="B31" s="41" t="s">
        <v>85</v>
      </c>
      <c r="C31" s="36"/>
      <c r="D31" s="117">
        <v>1845291000</v>
      </c>
    </row>
    <row r="32" spans="2:4" x14ac:dyDescent="0.25">
      <c r="B32" s="41" t="s">
        <v>86</v>
      </c>
      <c r="C32" s="36"/>
      <c r="D32" s="117">
        <v>145500000</v>
      </c>
    </row>
    <row r="33" spans="2:4" x14ac:dyDescent="0.25">
      <c r="B33" s="41" t="s">
        <v>87</v>
      </c>
      <c r="C33" s="36"/>
      <c r="D33" s="117">
        <v>2779380999.8800001</v>
      </c>
    </row>
    <row r="34" spans="2:4" x14ac:dyDescent="0.25">
      <c r="B34" s="41" t="s">
        <v>88</v>
      </c>
      <c r="C34" s="36"/>
      <c r="D34" s="117">
        <v>511535916</v>
      </c>
    </row>
    <row r="35" spans="2:4" x14ac:dyDescent="0.25">
      <c r="B35" s="41" t="s">
        <v>89</v>
      </c>
      <c r="C35" s="36"/>
      <c r="D35" s="117">
        <v>551500012</v>
      </c>
    </row>
    <row r="36" spans="2:4" x14ac:dyDescent="0.25">
      <c r="B36" s="41" t="s">
        <v>90</v>
      </c>
      <c r="C36" s="36"/>
      <c r="D36" s="117">
        <v>278371376</v>
      </c>
    </row>
    <row r="37" spans="2:4" x14ac:dyDescent="0.25">
      <c r="B37" s="41" t="s">
        <v>433</v>
      </c>
      <c r="C37" s="36"/>
      <c r="D37" s="117">
        <v>200000004</v>
      </c>
    </row>
    <row r="38" spans="2:4" x14ac:dyDescent="0.25">
      <c r="B38" s="41" t="s">
        <v>91</v>
      </c>
      <c r="C38" s="36"/>
      <c r="D38" s="117">
        <v>85000000</v>
      </c>
    </row>
    <row r="39" spans="2:4" x14ac:dyDescent="0.25">
      <c r="B39" s="41" t="s">
        <v>92</v>
      </c>
      <c r="C39" s="36"/>
      <c r="D39" s="117">
        <v>62422729</v>
      </c>
    </row>
    <row r="40" spans="2:4" x14ac:dyDescent="0.25">
      <c r="B40" s="39" t="s">
        <v>93</v>
      </c>
      <c r="C40" s="36"/>
      <c r="D40" s="40">
        <f>SUM(D41:D44)</f>
        <v>23438876660</v>
      </c>
    </row>
    <row r="41" spans="2:4" x14ac:dyDescent="0.25">
      <c r="B41" s="41" t="s">
        <v>94</v>
      </c>
      <c r="C41" s="36"/>
      <c r="D41" s="117">
        <v>15599948000</v>
      </c>
    </row>
    <row r="42" spans="2:4" x14ac:dyDescent="0.25">
      <c r="B42" s="41" t="s">
        <v>95</v>
      </c>
      <c r="C42" s="36"/>
      <c r="D42" s="117">
        <v>4067187864</v>
      </c>
    </row>
    <row r="43" spans="2:4" x14ac:dyDescent="0.25">
      <c r="B43" s="41" t="s">
        <v>96</v>
      </c>
      <c r="C43" s="36"/>
      <c r="D43" s="117">
        <v>3243687796</v>
      </c>
    </row>
    <row r="44" spans="2:4" x14ac:dyDescent="0.25">
      <c r="B44" s="41" t="s">
        <v>97</v>
      </c>
      <c r="C44" s="36"/>
      <c r="D44" s="117">
        <v>528053000</v>
      </c>
    </row>
    <row r="45" spans="2:4" x14ac:dyDescent="0.25">
      <c r="B45" s="39" t="s">
        <v>98</v>
      </c>
      <c r="C45" s="36"/>
      <c r="D45" s="118">
        <v>-2126587192.0000012</v>
      </c>
    </row>
    <row r="46" spans="2:4" x14ac:dyDescent="0.25">
      <c r="B46" s="39" t="s">
        <v>99</v>
      </c>
      <c r="C46" s="36"/>
      <c r="D46" s="40">
        <f>D47+D68+D77+D82+D84+D86+D90+D103+D105+D107+D109+D111+D113+D115+D121+D123</f>
        <v>487212636190.01489</v>
      </c>
    </row>
    <row r="47" spans="2:4" x14ac:dyDescent="0.25">
      <c r="B47" s="42" t="s">
        <v>100</v>
      </c>
      <c r="C47" s="36"/>
      <c r="D47" s="40">
        <f>SUM(D48:D67)</f>
        <v>301064353079.52234</v>
      </c>
    </row>
    <row r="48" spans="2:4" x14ac:dyDescent="0.25">
      <c r="B48" s="41" t="s">
        <v>101</v>
      </c>
      <c r="C48" s="36"/>
      <c r="D48" s="117">
        <v>574595171</v>
      </c>
    </row>
    <row r="49" spans="2:4" x14ac:dyDescent="0.25">
      <c r="B49" s="41" t="s">
        <v>102</v>
      </c>
      <c r="C49" s="36"/>
      <c r="D49" s="117">
        <f>89724831794.397-361504718</f>
        <v>89363327076.397003</v>
      </c>
    </row>
    <row r="50" spans="2:4" x14ac:dyDescent="0.25">
      <c r="B50" s="41" t="s">
        <v>103</v>
      </c>
      <c r="C50" s="36"/>
      <c r="D50" s="117">
        <v>30169638078</v>
      </c>
    </row>
    <row r="51" spans="2:4" x14ac:dyDescent="0.25">
      <c r="B51" s="41" t="s">
        <v>104</v>
      </c>
      <c r="C51" s="36"/>
      <c r="D51" s="117">
        <f>15098697344.722-75777746</f>
        <v>15022919598.722</v>
      </c>
    </row>
    <row r="52" spans="2:4" x14ac:dyDescent="0.25">
      <c r="B52" s="41" t="s">
        <v>105</v>
      </c>
      <c r="C52" s="36"/>
      <c r="D52" s="117">
        <v>584979058.81025004</v>
      </c>
    </row>
    <row r="53" spans="2:4" x14ac:dyDescent="0.25">
      <c r="B53" s="41" t="s">
        <v>106</v>
      </c>
      <c r="C53" s="36"/>
      <c r="D53" s="117">
        <v>41677485</v>
      </c>
    </row>
    <row r="54" spans="2:4" x14ac:dyDescent="0.25">
      <c r="B54" s="41" t="s">
        <v>107</v>
      </c>
      <c r="C54" s="36"/>
      <c r="D54" s="117">
        <f>780469615.8-3935283</f>
        <v>776534332.79999995</v>
      </c>
    </row>
    <row r="55" spans="2:4" x14ac:dyDescent="0.25">
      <c r="B55" s="41" t="s">
        <v>108</v>
      </c>
      <c r="C55" s="36"/>
      <c r="D55" s="117">
        <f>6296300341.69643-31599320</f>
        <v>6264701021.6964302</v>
      </c>
    </row>
    <row r="56" spans="2:4" x14ac:dyDescent="0.25">
      <c r="B56" s="41" t="s">
        <v>109</v>
      </c>
      <c r="C56" s="36"/>
      <c r="D56" s="117">
        <v>13216836</v>
      </c>
    </row>
    <row r="57" spans="2:4" x14ac:dyDescent="0.25">
      <c r="B57" s="41" t="s">
        <v>110</v>
      </c>
      <c r="C57" s="36"/>
      <c r="D57" s="117">
        <v>3477131670.6249843</v>
      </c>
    </row>
    <row r="58" spans="2:4" x14ac:dyDescent="0.25">
      <c r="B58" s="41" t="s">
        <v>111</v>
      </c>
      <c r="C58" s="36"/>
      <c r="D58" s="117">
        <v>818069246</v>
      </c>
    </row>
    <row r="59" spans="2:4" x14ac:dyDescent="0.25">
      <c r="B59" s="41" t="s">
        <v>434</v>
      </c>
      <c r="C59" s="36"/>
      <c r="D59" s="117">
        <v>176400</v>
      </c>
    </row>
    <row r="60" spans="2:4" x14ac:dyDescent="0.25">
      <c r="B60" s="41" t="s">
        <v>435</v>
      </c>
      <c r="C60" s="36"/>
      <c r="D60" s="117">
        <v>38300000</v>
      </c>
    </row>
    <row r="61" spans="2:4" x14ac:dyDescent="0.25">
      <c r="B61" s="41" t="s">
        <v>112</v>
      </c>
      <c r="C61" s="36"/>
      <c r="D61" s="117">
        <v>95144657</v>
      </c>
    </row>
    <row r="62" spans="2:4" x14ac:dyDescent="0.25">
      <c r="B62" s="41" t="s">
        <v>113</v>
      </c>
      <c r="C62" s="36"/>
      <c r="D62" s="117">
        <v>402089964</v>
      </c>
    </row>
    <row r="63" spans="2:4" x14ac:dyDescent="0.25">
      <c r="B63" s="41" t="s">
        <v>114</v>
      </c>
      <c r="C63" s="36"/>
      <c r="D63" s="117">
        <f>145003503625.976-703758558-26437296</f>
        <v>144273307771.97601</v>
      </c>
    </row>
    <row r="64" spans="2:4" x14ac:dyDescent="0.25">
      <c r="B64" s="41" t="s">
        <v>115</v>
      </c>
      <c r="C64" s="36"/>
      <c r="D64" s="117">
        <v>1612456920</v>
      </c>
    </row>
    <row r="65" spans="2:4" x14ac:dyDescent="0.25">
      <c r="B65" s="41" t="s">
        <v>116</v>
      </c>
      <c r="C65" s="36"/>
      <c r="D65" s="117">
        <v>591815797</v>
      </c>
    </row>
    <row r="66" spans="2:4" x14ac:dyDescent="0.25">
      <c r="B66" s="41" t="s">
        <v>117</v>
      </c>
      <c r="C66" s="36"/>
      <c r="D66" s="117">
        <v>3939099417.4956584</v>
      </c>
    </row>
    <row r="67" spans="2:4" x14ac:dyDescent="0.25">
      <c r="B67" s="41" t="s">
        <v>118</v>
      </c>
      <c r="C67" s="36"/>
      <c r="D67" s="117">
        <v>3005172577</v>
      </c>
    </row>
    <row r="68" spans="2:4" x14ac:dyDescent="0.25">
      <c r="B68" s="42" t="s">
        <v>119</v>
      </c>
      <c r="C68" s="36"/>
      <c r="D68" s="40">
        <f>SUM(D69:D76)</f>
        <v>36676916611.691925</v>
      </c>
    </row>
    <row r="69" spans="2:4" x14ac:dyDescent="0.25">
      <c r="B69" s="41" t="s">
        <v>120</v>
      </c>
      <c r="C69" s="36"/>
      <c r="D69" s="117">
        <v>352800000</v>
      </c>
    </row>
    <row r="70" spans="2:4" x14ac:dyDescent="0.25">
      <c r="B70" s="41" t="s">
        <v>121</v>
      </c>
      <c r="C70" s="36"/>
      <c r="D70" s="117">
        <v>15750000</v>
      </c>
    </row>
    <row r="71" spans="2:4" x14ac:dyDescent="0.25">
      <c r="B71" s="41" t="s">
        <v>436</v>
      </c>
      <c r="C71" s="36"/>
      <c r="D71" s="117">
        <v>30000000</v>
      </c>
    </row>
    <row r="72" spans="2:4" x14ac:dyDescent="0.25">
      <c r="B72" s="41" t="s">
        <v>122</v>
      </c>
      <c r="C72" s="36"/>
      <c r="D72" s="117">
        <v>827173443</v>
      </c>
    </row>
    <row r="73" spans="2:4" x14ac:dyDescent="0.25">
      <c r="B73" s="41" t="s">
        <v>123</v>
      </c>
      <c r="C73" s="36"/>
      <c r="D73" s="117">
        <v>1025574581.9630001</v>
      </c>
    </row>
    <row r="74" spans="2:4" x14ac:dyDescent="0.25">
      <c r="B74" s="41" t="s">
        <v>124</v>
      </c>
      <c r="C74" s="36"/>
      <c r="D74" s="117">
        <v>8164081582.2432299</v>
      </c>
    </row>
    <row r="75" spans="2:4" x14ac:dyDescent="0.25">
      <c r="B75" s="41" t="s">
        <v>125</v>
      </c>
      <c r="C75" s="36"/>
      <c r="D75" s="117">
        <v>6974822041.8257008</v>
      </c>
    </row>
    <row r="76" spans="2:4" x14ac:dyDescent="0.25">
      <c r="B76" s="41" t="s">
        <v>126</v>
      </c>
      <c r="C76" s="36"/>
      <c r="D76" s="117">
        <v>19286714962.66</v>
      </c>
    </row>
    <row r="77" spans="2:4" x14ac:dyDescent="0.25">
      <c r="B77" s="42" t="s">
        <v>127</v>
      </c>
      <c r="C77" s="36"/>
      <c r="D77" s="40">
        <f>SUM(D78:D81)</f>
        <v>11151063978.389999</v>
      </c>
    </row>
    <row r="78" spans="2:4" x14ac:dyDescent="0.25">
      <c r="B78" s="41" t="s">
        <v>128</v>
      </c>
      <c r="C78" s="36"/>
      <c r="D78" s="117">
        <v>6008948916.3900003</v>
      </c>
    </row>
    <row r="79" spans="2:4" x14ac:dyDescent="0.25">
      <c r="B79" s="41" t="s">
        <v>129</v>
      </c>
      <c r="C79" s="36"/>
      <c r="D79" s="117">
        <v>3010430057</v>
      </c>
    </row>
    <row r="80" spans="2:4" x14ac:dyDescent="0.25">
      <c r="B80" s="41" t="s">
        <v>130</v>
      </c>
      <c r="C80" s="36"/>
      <c r="D80" s="117">
        <v>6685005</v>
      </c>
    </row>
    <row r="81" spans="2:4" x14ac:dyDescent="0.25">
      <c r="B81" s="41" t="s">
        <v>131</v>
      </c>
      <c r="C81" s="36"/>
      <c r="D81" s="117">
        <v>2125000000</v>
      </c>
    </row>
    <row r="82" spans="2:4" x14ac:dyDescent="0.25">
      <c r="B82" s="42" t="s">
        <v>132</v>
      </c>
      <c r="C82" s="36"/>
      <c r="D82" s="40">
        <f>SUM(D83)</f>
        <v>3035789875.3299999</v>
      </c>
    </row>
    <row r="83" spans="2:4" x14ac:dyDescent="0.25">
      <c r="B83" s="41" t="s">
        <v>133</v>
      </c>
      <c r="C83" s="36"/>
      <c r="D83" s="117">
        <v>3035789875.3299999</v>
      </c>
    </row>
    <row r="84" spans="2:4" x14ac:dyDescent="0.25">
      <c r="B84" s="42" t="s">
        <v>134</v>
      </c>
      <c r="C84" s="36"/>
      <c r="D84" s="40">
        <f>SUM(D85)</f>
        <v>1556888671</v>
      </c>
    </row>
    <row r="85" spans="2:4" x14ac:dyDescent="0.25">
      <c r="B85" s="41" t="s">
        <v>135</v>
      </c>
      <c r="C85" s="36"/>
      <c r="D85" s="117">
        <v>1556888671</v>
      </c>
    </row>
    <row r="86" spans="2:4" x14ac:dyDescent="0.25">
      <c r="B86" s="42" t="s">
        <v>136</v>
      </c>
      <c r="C86" s="36"/>
      <c r="D86" s="40">
        <f>SUM(D87:D89)</f>
        <v>3225667820.15557</v>
      </c>
    </row>
    <row r="87" spans="2:4" x14ac:dyDescent="0.25">
      <c r="B87" s="41" t="s">
        <v>137</v>
      </c>
      <c r="C87" s="36"/>
      <c r="D87" s="117">
        <v>614916475.54557002</v>
      </c>
    </row>
    <row r="88" spans="2:4" x14ac:dyDescent="0.25">
      <c r="B88" s="41" t="s">
        <v>138</v>
      </c>
      <c r="C88" s="36"/>
      <c r="D88" s="117">
        <v>745684457.05999994</v>
      </c>
    </row>
    <row r="89" spans="2:4" x14ac:dyDescent="0.25">
      <c r="B89" s="41" t="s">
        <v>139</v>
      </c>
      <c r="C89" s="36"/>
      <c r="D89" s="117">
        <v>1865066887.55</v>
      </c>
    </row>
    <row r="90" spans="2:4" x14ac:dyDescent="0.25">
      <c r="B90" s="42" t="s">
        <v>140</v>
      </c>
      <c r="C90" s="36"/>
      <c r="D90" s="40">
        <f>SUM(D91:D102)</f>
        <v>23256057680.055172</v>
      </c>
    </row>
    <row r="91" spans="2:4" x14ac:dyDescent="0.25">
      <c r="B91" s="41" t="s">
        <v>141</v>
      </c>
      <c r="C91" s="36"/>
      <c r="D91" s="117">
        <v>3893140933.7521501</v>
      </c>
    </row>
    <row r="92" spans="2:4" x14ac:dyDescent="0.25">
      <c r="B92" s="41" t="s">
        <v>142</v>
      </c>
      <c r="C92" s="36"/>
      <c r="D92" s="117">
        <v>5491088565</v>
      </c>
    </row>
    <row r="93" spans="2:4" x14ac:dyDescent="0.25">
      <c r="B93" s="41" t="s">
        <v>143</v>
      </c>
      <c r="C93" s="36"/>
      <c r="D93" s="117">
        <v>2821294370.8299999</v>
      </c>
    </row>
    <row r="94" spans="2:4" x14ac:dyDescent="0.25">
      <c r="B94" s="41" t="s">
        <v>144</v>
      </c>
      <c r="C94" s="36"/>
      <c r="D94" s="117">
        <v>770678153</v>
      </c>
    </row>
    <row r="95" spans="2:4" x14ac:dyDescent="0.25">
      <c r="B95" s="41" t="s">
        <v>145</v>
      </c>
      <c r="C95" s="36"/>
      <c r="D95" s="117">
        <v>3851530592</v>
      </c>
    </row>
    <row r="96" spans="2:4" x14ac:dyDescent="0.25">
      <c r="B96" s="41" t="s">
        <v>146</v>
      </c>
      <c r="C96" s="36"/>
      <c r="D96" s="117">
        <v>861993542.47302103</v>
      </c>
    </row>
    <row r="97" spans="2:4" x14ac:dyDescent="0.25">
      <c r="B97" s="41" t="s">
        <v>147</v>
      </c>
      <c r="C97" s="36"/>
      <c r="D97" s="117">
        <v>788765702</v>
      </c>
    </row>
    <row r="98" spans="2:4" x14ac:dyDescent="0.25">
      <c r="B98" s="41" t="s">
        <v>148</v>
      </c>
      <c r="C98" s="36"/>
      <c r="D98" s="117">
        <v>430690296</v>
      </c>
    </row>
    <row r="99" spans="2:4" x14ac:dyDescent="0.25">
      <c r="B99" s="41" t="s">
        <v>149</v>
      </c>
      <c r="C99" s="36"/>
      <c r="D99" s="117">
        <v>792909559</v>
      </c>
    </row>
    <row r="100" spans="2:4" x14ac:dyDescent="0.25">
      <c r="B100" s="41" t="s">
        <v>150</v>
      </c>
      <c r="C100" s="36"/>
      <c r="D100" s="117">
        <v>250150178</v>
      </c>
    </row>
    <row r="101" spans="2:4" x14ac:dyDescent="0.25">
      <c r="B101" s="41" t="s">
        <v>151</v>
      </c>
      <c r="C101" s="36"/>
      <c r="D101" s="117">
        <v>345609500</v>
      </c>
    </row>
    <row r="102" spans="2:4" x14ac:dyDescent="0.25">
      <c r="B102" s="41" t="s">
        <v>152</v>
      </c>
      <c r="C102" s="36"/>
      <c r="D102" s="117">
        <v>2958206288</v>
      </c>
    </row>
    <row r="103" spans="2:4" x14ac:dyDescent="0.25">
      <c r="B103" s="42" t="s">
        <v>153</v>
      </c>
      <c r="C103" s="36"/>
      <c r="D103" s="40">
        <f>SUM(D104)</f>
        <v>300501324.28710002</v>
      </c>
    </row>
    <row r="104" spans="2:4" x14ac:dyDescent="0.25">
      <c r="B104" s="41" t="s">
        <v>154</v>
      </c>
      <c r="C104" s="36"/>
      <c r="D104" s="117">
        <v>300501324.28710002</v>
      </c>
    </row>
    <row r="105" spans="2:4" x14ac:dyDescent="0.25">
      <c r="B105" s="42" t="s">
        <v>155</v>
      </c>
      <c r="C105" s="36"/>
      <c r="D105" s="40">
        <f>SUM(D106)</f>
        <v>9241921161</v>
      </c>
    </row>
    <row r="106" spans="2:4" x14ac:dyDescent="0.25">
      <c r="B106" s="41" t="s">
        <v>156</v>
      </c>
      <c r="C106" s="36"/>
      <c r="D106" s="117">
        <v>9241921161</v>
      </c>
    </row>
    <row r="107" spans="2:4" x14ac:dyDescent="0.25">
      <c r="B107" s="42" t="s">
        <v>157</v>
      </c>
      <c r="C107" s="36"/>
      <c r="D107" s="40">
        <f>SUM(D108)</f>
        <v>259260417.21733063</v>
      </c>
    </row>
    <row r="108" spans="2:4" x14ac:dyDescent="0.25">
      <c r="B108" s="41" t="s">
        <v>158</v>
      </c>
      <c r="C108" s="36"/>
      <c r="D108" s="117">
        <v>259260417.21733063</v>
      </c>
    </row>
    <row r="109" spans="2:4" x14ac:dyDescent="0.25">
      <c r="B109" s="42" t="s">
        <v>159</v>
      </c>
      <c r="C109" s="36"/>
      <c r="D109" s="40">
        <f>SUM(D110)</f>
        <v>11574401664</v>
      </c>
    </row>
    <row r="110" spans="2:4" x14ac:dyDescent="0.25">
      <c r="B110" s="41" t="s">
        <v>160</v>
      </c>
      <c r="C110" s="36"/>
      <c r="D110" s="117">
        <v>11574401664</v>
      </c>
    </row>
    <row r="111" spans="2:4" x14ac:dyDescent="0.25">
      <c r="B111" s="42" t="s">
        <v>161</v>
      </c>
      <c r="C111" s="36"/>
      <c r="D111" s="40">
        <f>SUM(D112)</f>
        <v>38271824777.6754</v>
      </c>
    </row>
    <row r="112" spans="2:4" x14ac:dyDescent="0.25">
      <c r="B112" s="41" t="s">
        <v>162</v>
      </c>
      <c r="C112" s="36"/>
      <c r="D112" s="117">
        <v>38271824777.6754</v>
      </c>
    </row>
    <row r="113" spans="2:4" x14ac:dyDescent="0.25">
      <c r="B113" s="42" t="s">
        <v>163</v>
      </c>
      <c r="C113" s="43"/>
      <c r="D113" s="40">
        <f>SUM(D114)</f>
        <v>7369870695.75</v>
      </c>
    </row>
    <row r="114" spans="2:4" x14ac:dyDescent="0.25">
      <c r="B114" s="41" t="s">
        <v>164</v>
      </c>
      <c r="C114" s="36"/>
      <c r="D114" s="117">
        <v>7369870695.75</v>
      </c>
    </row>
    <row r="115" spans="2:4" x14ac:dyDescent="0.25">
      <c r="B115" s="42" t="s">
        <v>165</v>
      </c>
      <c r="C115" s="36"/>
      <c r="D115" s="40">
        <f>SUM(D116:D120)</f>
        <v>27637858321.939999</v>
      </c>
    </row>
    <row r="116" spans="2:4" x14ac:dyDescent="0.25">
      <c r="B116" s="41" t="s">
        <v>166</v>
      </c>
      <c r="C116" s="36"/>
      <c r="D116" s="117">
        <v>14702385896.9</v>
      </c>
    </row>
    <row r="117" spans="2:4" x14ac:dyDescent="0.25">
      <c r="B117" s="41" t="s">
        <v>167</v>
      </c>
      <c r="C117" s="36"/>
      <c r="D117" s="117">
        <v>1519820499</v>
      </c>
    </row>
    <row r="118" spans="2:4" x14ac:dyDescent="0.25">
      <c r="B118" s="41" t="s">
        <v>168</v>
      </c>
      <c r="C118" s="36"/>
      <c r="D118" s="117">
        <v>302185022</v>
      </c>
    </row>
    <row r="119" spans="2:4" x14ac:dyDescent="0.25">
      <c r="B119" s="41" t="s">
        <v>169</v>
      </c>
      <c r="C119" s="36"/>
      <c r="D119" s="117">
        <v>3904284116.039999</v>
      </c>
    </row>
    <row r="120" spans="2:4" x14ac:dyDescent="0.25">
      <c r="B120" s="41" t="s">
        <v>170</v>
      </c>
      <c r="C120" s="36"/>
      <c r="D120" s="117">
        <v>7209182788</v>
      </c>
    </row>
    <row r="121" spans="2:4" x14ac:dyDescent="0.25">
      <c r="B121" s="42" t="s">
        <v>171</v>
      </c>
      <c r="C121" s="36"/>
      <c r="D121" s="40">
        <f>SUM(D122)</f>
        <v>400000000</v>
      </c>
    </row>
    <row r="122" spans="2:4" x14ac:dyDescent="0.25">
      <c r="B122" s="41" t="s">
        <v>172</v>
      </c>
      <c r="C122" s="36"/>
      <c r="D122" s="117">
        <v>400000000</v>
      </c>
    </row>
    <row r="123" spans="2:4" x14ac:dyDescent="0.25">
      <c r="B123" s="39" t="s">
        <v>173</v>
      </c>
      <c r="C123" s="36"/>
      <c r="D123" s="40">
        <f>SUM(D124)</f>
        <v>12190260112</v>
      </c>
    </row>
    <row r="124" spans="2:4" x14ac:dyDescent="0.25">
      <c r="B124" s="44" t="s">
        <v>173</v>
      </c>
      <c r="C124" s="36"/>
      <c r="D124" s="40">
        <f>SUM(D125:D126)</f>
        <v>12190260112</v>
      </c>
    </row>
    <row r="125" spans="2:4" x14ac:dyDescent="0.25">
      <c r="B125" s="41" t="s">
        <v>174</v>
      </c>
      <c r="C125" s="36"/>
      <c r="D125" s="117">
        <v>3452088112</v>
      </c>
    </row>
    <row r="126" spans="2:4" x14ac:dyDescent="0.25">
      <c r="B126" s="41" t="s">
        <v>175</v>
      </c>
      <c r="C126" s="36"/>
      <c r="D126" s="117">
        <v>8738172000</v>
      </c>
    </row>
    <row r="127" spans="2:4" x14ac:dyDescent="0.25">
      <c r="B127" s="39" t="s">
        <v>176</v>
      </c>
      <c r="C127" s="36"/>
      <c r="D127" s="40">
        <f>D128+D131</f>
        <v>39699066022.720001</v>
      </c>
    </row>
    <row r="128" spans="2:4" x14ac:dyDescent="0.25">
      <c r="B128" s="42" t="s">
        <v>177</v>
      </c>
      <c r="C128" s="36"/>
      <c r="D128" s="40">
        <f>SUM(D129:D130)</f>
        <v>33932329316.370003</v>
      </c>
    </row>
    <row r="129" spans="2:4" x14ac:dyDescent="0.25">
      <c r="B129" s="41" t="s">
        <v>178</v>
      </c>
      <c r="C129" s="36"/>
      <c r="D129" s="117">
        <v>31572135707.970001</v>
      </c>
    </row>
    <row r="130" spans="2:4" x14ac:dyDescent="0.25">
      <c r="B130" s="41" t="s">
        <v>179</v>
      </c>
      <c r="C130" s="36"/>
      <c r="D130" s="117">
        <v>2360193608.3999996</v>
      </c>
    </row>
    <row r="131" spans="2:4" x14ac:dyDescent="0.25">
      <c r="B131" s="42" t="s">
        <v>180</v>
      </c>
      <c r="C131" s="36"/>
      <c r="D131" s="40">
        <f>SUM(D132:D136)</f>
        <v>5766736706.3500004</v>
      </c>
    </row>
    <row r="132" spans="2:4" x14ac:dyDescent="0.25">
      <c r="B132" s="41" t="s">
        <v>181</v>
      </c>
      <c r="C132" s="36"/>
      <c r="D132" s="117">
        <v>142590000</v>
      </c>
    </row>
    <row r="133" spans="2:4" x14ac:dyDescent="0.25">
      <c r="B133" s="41" t="s">
        <v>182</v>
      </c>
      <c r="C133" s="36"/>
      <c r="D133" s="117">
        <v>2860000</v>
      </c>
    </row>
    <row r="134" spans="2:4" x14ac:dyDescent="0.25">
      <c r="B134" s="41" t="s">
        <v>183</v>
      </c>
      <c r="C134" s="36"/>
      <c r="D134" s="117">
        <v>3121286706.3499999</v>
      </c>
    </row>
    <row r="135" spans="2:4" x14ac:dyDescent="0.25">
      <c r="B135" s="41" t="s">
        <v>438</v>
      </c>
      <c r="C135" s="36"/>
      <c r="D135" s="117">
        <v>1500000000</v>
      </c>
    </row>
    <row r="136" spans="2:4" x14ac:dyDescent="0.25">
      <c r="B136" s="41" t="s">
        <v>184</v>
      </c>
      <c r="C136" s="36"/>
      <c r="D136" s="117">
        <v>1000000000</v>
      </c>
    </row>
    <row r="137" spans="2:4" x14ac:dyDescent="0.25">
      <c r="B137" s="39" t="s">
        <v>185</v>
      </c>
      <c r="C137" s="36"/>
      <c r="D137" s="40">
        <f>D138+D140+D142</f>
        <v>11455205566</v>
      </c>
    </row>
    <row r="138" spans="2:4" x14ac:dyDescent="0.25">
      <c r="B138" s="44" t="s">
        <v>186</v>
      </c>
      <c r="C138" s="36"/>
      <c r="D138" s="43">
        <f>SUM(D139)</f>
        <v>1591000000</v>
      </c>
    </row>
    <row r="139" spans="2:4" x14ac:dyDescent="0.25">
      <c r="B139" s="41" t="s">
        <v>187</v>
      </c>
      <c r="C139" s="36"/>
      <c r="D139" s="117">
        <v>1591000000</v>
      </c>
    </row>
    <row r="140" spans="2:4" x14ac:dyDescent="0.25">
      <c r="B140" s="44" t="s">
        <v>188</v>
      </c>
      <c r="C140" s="36"/>
      <c r="D140" s="43">
        <f>SUM(D141)</f>
        <v>1190000000</v>
      </c>
    </row>
    <row r="141" spans="2:4" x14ac:dyDescent="0.25">
      <c r="B141" s="41" t="s">
        <v>189</v>
      </c>
      <c r="C141" s="36"/>
      <c r="D141" s="117">
        <v>1190000000</v>
      </c>
    </row>
    <row r="142" spans="2:4" x14ac:dyDescent="0.25">
      <c r="B142" s="44" t="s">
        <v>190</v>
      </c>
      <c r="C142" s="36"/>
      <c r="D142" s="43">
        <f>SUM(D143)</f>
        <v>8674205566</v>
      </c>
    </row>
    <row r="143" spans="2:4" x14ac:dyDescent="0.25">
      <c r="B143" s="41" t="s">
        <v>191</v>
      </c>
      <c r="C143" s="36"/>
      <c r="D143" s="117">
        <v>8674205566</v>
      </c>
    </row>
    <row r="145" spans="2:4" x14ac:dyDescent="0.25">
      <c r="B145" s="45" t="s">
        <v>192</v>
      </c>
      <c r="C145" s="46"/>
      <c r="D145" s="47">
        <f>D9-D46</f>
        <v>10946347075.785095</v>
      </c>
    </row>
    <row r="146" spans="2:4" x14ac:dyDescent="0.25">
      <c r="B146" s="45" t="s">
        <v>193</v>
      </c>
      <c r="C146" s="46"/>
      <c r="D146" s="47">
        <f>D127-D137</f>
        <v>28243860456.720001</v>
      </c>
    </row>
    <row r="147" spans="2:4" x14ac:dyDescent="0.25">
      <c r="B147" s="48"/>
      <c r="C147" s="36"/>
      <c r="D147" s="49"/>
    </row>
    <row r="148" spans="2:4" x14ac:dyDescent="0.25">
      <c r="B148" s="45" t="s">
        <v>194</v>
      </c>
      <c r="C148" s="46"/>
      <c r="D148" s="50">
        <f>SUM(D145:D146)</f>
        <v>39190207532.505096</v>
      </c>
    </row>
    <row r="151" spans="2:4" x14ac:dyDescent="0.25">
      <c r="B151" t="s">
        <v>439</v>
      </c>
      <c r="D151" s="119">
        <f>D128-D142</f>
        <v>25258123750.370003</v>
      </c>
    </row>
    <row r="152" spans="2:4" x14ac:dyDescent="0.25">
      <c r="B152" t="s">
        <v>440</v>
      </c>
      <c r="D152" s="119">
        <f>D131-D138-D140</f>
        <v>2985736706.3500004</v>
      </c>
    </row>
    <row r="153" spans="2:4" x14ac:dyDescent="0.25">
      <c r="B153" t="s">
        <v>441</v>
      </c>
      <c r="D153" s="119">
        <f>SUM(D151:D152)</f>
        <v>28243860456.720001</v>
      </c>
    </row>
  </sheetData>
  <mergeCells count="5">
    <mergeCell ref="B2:D2"/>
    <mergeCell ref="B3:D3"/>
    <mergeCell ref="B4:D4"/>
    <mergeCell ref="B5:D5"/>
    <mergeCell ref="B6:D6"/>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E38"/>
  <sheetViews>
    <sheetView showGridLines="0" zoomScale="140" zoomScaleNormal="140" workbookViewId="0"/>
  </sheetViews>
  <sheetFormatPr baseColWidth="10" defaultRowHeight="15" x14ac:dyDescent="0.25"/>
  <cols>
    <col min="2" max="2" width="41.85546875" customWidth="1"/>
    <col min="3" max="3" width="14.85546875" bestFit="1" customWidth="1"/>
    <col min="4" max="4" width="14.140625" bestFit="1" customWidth="1"/>
  </cols>
  <sheetData>
    <row r="3" spans="2:5" ht="26.25" x14ac:dyDescent="0.4">
      <c r="B3" s="296" t="s">
        <v>195</v>
      </c>
      <c r="C3" s="296"/>
      <c r="D3" s="296"/>
    </row>
    <row r="4" spans="2:5" ht="18.75" x14ac:dyDescent="0.3">
      <c r="B4" s="297" t="s">
        <v>442</v>
      </c>
      <c r="C4" s="297"/>
      <c r="D4" s="297"/>
    </row>
    <row r="5" spans="2:5" x14ac:dyDescent="0.25">
      <c r="B5" s="299" t="s">
        <v>196</v>
      </c>
      <c r="C5" s="299"/>
      <c r="D5" s="299"/>
    </row>
    <row r="7" spans="2:5" x14ac:dyDescent="0.25">
      <c r="B7" t="s">
        <v>197</v>
      </c>
      <c r="C7" s="51">
        <v>56989</v>
      </c>
    </row>
    <row r="8" spans="2:5" x14ac:dyDescent="0.25">
      <c r="B8" t="s">
        <v>444</v>
      </c>
      <c r="C8" s="51">
        <v>45000</v>
      </c>
    </row>
    <row r="9" spans="2:5" x14ac:dyDescent="0.25">
      <c r="C9" s="51"/>
    </row>
    <row r="10" spans="2:5" x14ac:dyDescent="0.25">
      <c r="B10" t="s">
        <v>198</v>
      </c>
      <c r="C10" s="51">
        <f>C7+C8</f>
        <v>101989</v>
      </c>
    </row>
    <row r="11" spans="2:5" x14ac:dyDescent="0.25">
      <c r="C11" s="51"/>
    </row>
    <row r="12" spans="2:5" x14ac:dyDescent="0.25">
      <c r="B12" t="s">
        <v>199</v>
      </c>
      <c r="C12" s="53">
        <f>E25</f>
        <v>86243.249999999985</v>
      </c>
      <c r="D12" s="123">
        <f>C12/C10</f>
        <v>0.84561325240957341</v>
      </c>
    </row>
    <row r="13" spans="2:5" x14ac:dyDescent="0.25">
      <c r="D13" s="121"/>
    </row>
    <row r="14" spans="2:5" x14ac:dyDescent="0.25">
      <c r="B14" t="s">
        <v>452</v>
      </c>
      <c r="C14" t="s">
        <v>445</v>
      </c>
      <c r="D14" s="121" t="s">
        <v>448</v>
      </c>
    </row>
    <row r="15" spans="2:5" x14ac:dyDescent="0.25">
      <c r="C15" s="51"/>
    </row>
    <row r="16" spans="2:5" x14ac:dyDescent="0.25">
      <c r="B16" s="122" t="s">
        <v>200</v>
      </c>
      <c r="C16" s="53">
        <v>64587</v>
      </c>
      <c r="D16" s="52">
        <v>0.95</v>
      </c>
      <c r="E16" s="53">
        <f>C16*D16</f>
        <v>61357.649999999994</v>
      </c>
    </row>
    <row r="17" spans="2:5" x14ac:dyDescent="0.25">
      <c r="B17" s="54" t="s">
        <v>201</v>
      </c>
      <c r="C17" s="53">
        <v>5555</v>
      </c>
      <c r="D17" s="52">
        <v>0.8</v>
      </c>
      <c r="E17" s="53">
        <f t="shared" ref="E17:E23" si="0">C17*D17</f>
        <v>4444</v>
      </c>
    </row>
    <row r="18" spans="2:5" x14ac:dyDescent="0.25">
      <c r="B18" s="54" t="s">
        <v>202</v>
      </c>
      <c r="C18" s="53">
        <v>1244</v>
      </c>
      <c r="D18" s="52">
        <v>0.8</v>
      </c>
      <c r="E18" s="53">
        <f t="shared" si="0"/>
        <v>995.2</v>
      </c>
    </row>
    <row r="19" spans="2:5" x14ac:dyDescent="0.25">
      <c r="B19" s="54" t="s">
        <v>203</v>
      </c>
      <c r="C19" s="53">
        <v>9791</v>
      </c>
      <c r="D19" s="52">
        <v>0.8</v>
      </c>
      <c r="E19" s="53">
        <f t="shared" si="0"/>
        <v>7832.8</v>
      </c>
    </row>
    <row r="20" spans="2:5" x14ac:dyDescent="0.25">
      <c r="B20" s="54" t="s">
        <v>446</v>
      </c>
      <c r="C20" s="53">
        <v>1980</v>
      </c>
      <c r="D20" s="52">
        <v>0.8</v>
      </c>
      <c r="E20" s="53">
        <f t="shared" si="0"/>
        <v>1584</v>
      </c>
    </row>
    <row r="21" spans="2:5" x14ac:dyDescent="0.25">
      <c r="B21" s="54" t="s">
        <v>447</v>
      </c>
      <c r="C21" s="53">
        <v>98</v>
      </c>
      <c r="D21" s="52">
        <v>0.8</v>
      </c>
      <c r="E21" s="53">
        <f t="shared" si="0"/>
        <v>78.400000000000006</v>
      </c>
    </row>
    <row r="22" spans="2:5" x14ac:dyDescent="0.25">
      <c r="B22" s="54" t="s">
        <v>204</v>
      </c>
      <c r="C22" s="53">
        <v>12064</v>
      </c>
      <c r="D22" s="52">
        <v>0.8</v>
      </c>
      <c r="E22" s="53">
        <f t="shared" si="0"/>
        <v>9651.2000000000007</v>
      </c>
    </row>
    <row r="23" spans="2:5" x14ac:dyDescent="0.25">
      <c r="B23" s="54" t="s">
        <v>205</v>
      </c>
      <c r="C23" s="53">
        <v>375</v>
      </c>
      <c r="D23" s="52">
        <v>0.8</v>
      </c>
      <c r="E23" s="53">
        <f t="shared" si="0"/>
        <v>300</v>
      </c>
    </row>
    <row r="24" spans="2:5" x14ac:dyDescent="0.25">
      <c r="C24" s="51"/>
    </row>
    <row r="25" spans="2:5" x14ac:dyDescent="0.25">
      <c r="C25" s="120">
        <f>SUM(C16:C23)</f>
        <v>95694</v>
      </c>
      <c r="D25" s="52">
        <f>C25/$C$25</f>
        <v>1</v>
      </c>
      <c r="E25" s="53">
        <f>SUM(E16:E23)</f>
        <v>86243.249999999985</v>
      </c>
    </row>
    <row r="26" spans="2:5" x14ac:dyDescent="0.25">
      <c r="C26" s="51"/>
    </row>
    <row r="30" spans="2:5" x14ac:dyDescent="0.25">
      <c r="B30" t="s">
        <v>449</v>
      </c>
    </row>
    <row r="32" spans="2:5" x14ac:dyDescent="0.25">
      <c r="B32">
        <v>2010</v>
      </c>
      <c r="D32" s="125">
        <v>0.67</v>
      </c>
    </row>
    <row r="33" spans="2:5" x14ac:dyDescent="0.25">
      <c r="B33">
        <v>2011</v>
      </c>
      <c r="D33" s="125">
        <v>0.57999999999999996</v>
      </c>
    </row>
    <row r="34" spans="2:5" x14ac:dyDescent="0.25">
      <c r="B34">
        <v>2012</v>
      </c>
      <c r="D34" s="125">
        <v>0.71</v>
      </c>
    </row>
    <row r="35" spans="2:5" x14ac:dyDescent="0.25">
      <c r="B35">
        <v>2013</v>
      </c>
      <c r="D35" s="125">
        <v>0.81</v>
      </c>
    </row>
    <row r="36" spans="2:5" x14ac:dyDescent="0.25">
      <c r="B36">
        <v>2014</v>
      </c>
      <c r="D36" s="125">
        <v>0.79</v>
      </c>
    </row>
    <row r="37" spans="2:5" x14ac:dyDescent="0.25">
      <c r="B37">
        <v>2015</v>
      </c>
      <c r="D37" s="125">
        <v>0.86</v>
      </c>
    </row>
    <row r="38" spans="2:5" x14ac:dyDescent="0.25">
      <c r="B38" s="124" t="s">
        <v>450</v>
      </c>
      <c r="D38" s="125">
        <v>0.9</v>
      </c>
      <c r="E38" t="s">
        <v>451</v>
      </c>
    </row>
  </sheetData>
  <mergeCells count="3">
    <mergeCell ref="B3:D3"/>
    <mergeCell ref="B4:D4"/>
    <mergeCell ref="B5:D5"/>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8"/>
  <sheetViews>
    <sheetView showGridLines="0" zoomScale="120" zoomScaleNormal="120" workbookViewId="0"/>
  </sheetViews>
  <sheetFormatPr baseColWidth="10" defaultRowHeight="11.25" x14ac:dyDescent="0.2"/>
  <cols>
    <col min="1" max="1" width="2.7109375" style="128" customWidth="1"/>
    <col min="2" max="2" width="83.42578125" style="128" customWidth="1"/>
    <col min="3" max="3" width="14" style="129" customWidth="1"/>
    <col min="4" max="4" width="19.140625" style="173" customWidth="1"/>
    <col min="5" max="5" width="14.85546875" style="131" customWidth="1"/>
    <col min="6" max="6" width="20.85546875" style="174" customWidth="1"/>
    <col min="7" max="7" width="14.5703125" style="133" customWidth="1"/>
    <col min="8" max="8" width="19.42578125" style="134" customWidth="1"/>
    <col min="9" max="9" width="24.85546875" style="129" customWidth="1"/>
    <col min="10" max="10" width="19.85546875" style="129" customWidth="1"/>
    <col min="11" max="11" width="23.42578125" style="129" customWidth="1"/>
    <col min="12" max="12" width="23" style="129" customWidth="1"/>
    <col min="13" max="13" width="22.140625" style="129" customWidth="1"/>
    <col min="14" max="14" width="25.7109375" style="129" customWidth="1"/>
    <col min="15" max="15" width="23.85546875" style="129" customWidth="1"/>
    <col min="16" max="16" width="24.28515625" style="129" customWidth="1"/>
    <col min="17" max="17" width="19.85546875" style="129" customWidth="1"/>
    <col min="18" max="18" width="19.28515625" style="129" customWidth="1"/>
    <col min="19" max="19" width="22.28515625" style="129" customWidth="1"/>
    <col min="20" max="20" width="19.7109375" style="129" customWidth="1"/>
    <col min="21" max="21" width="18.7109375" style="129" customWidth="1"/>
    <col min="22" max="22" width="17.28515625" style="129" customWidth="1"/>
    <col min="23" max="16384" width="11.42578125" style="129"/>
  </cols>
  <sheetData>
    <row r="1" spans="2:22" s="128" customFormat="1" ht="12" customHeight="1" x14ac:dyDescent="0.2">
      <c r="C1" s="129"/>
      <c r="D1" s="130"/>
      <c r="E1" s="131"/>
      <c r="F1" s="132"/>
      <c r="G1" s="133"/>
      <c r="H1" s="134"/>
    </row>
    <row r="2" spans="2:22" s="128" customFormat="1" x14ac:dyDescent="0.2">
      <c r="C2" s="129"/>
      <c r="D2" s="130"/>
      <c r="E2" s="131"/>
      <c r="F2" s="132"/>
      <c r="G2" s="133"/>
      <c r="H2" s="134"/>
    </row>
    <row r="3" spans="2:22" s="128" customFormat="1" x14ac:dyDescent="0.2">
      <c r="B3" s="128" t="s">
        <v>195</v>
      </c>
      <c r="C3" s="129"/>
      <c r="D3" s="130"/>
      <c r="E3" s="131"/>
      <c r="F3" s="132"/>
      <c r="G3" s="133"/>
      <c r="H3" s="134"/>
    </row>
    <row r="4" spans="2:22" s="128" customFormat="1" x14ac:dyDescent="0.2">
      <c r="B4" s="128" t="s">
        <v>552</v>
      </c>
      <c r="C4" s="129"/>
      <c r="D4" s="175"/>
      <c r="E4" s="129"/>
      <c r="G4" s="130"/>
      <c r="H4" s="131"/>
      <c r="I4" s="132"/>
      <c r="J4" s="133"/>
      <c r="K4" s="135"/>
      <c r="L4" s="136"/>
    </row>
    <row r="5" spans="2:22" s="128" customFormat="1" x14ac:dyDescent="0.2">
      <c r="B5" s="176" t="s">
        <v>553</v>
      </c>
      <c r="C5" s="129"/>
      <c r="D5" s="130"/>
      <c r="E5" s="131"/>
      <c r="F5" s="132"/>
      <c r="G5" s="133"/>
      <c r="H5" s="134"/>
    </row>
    <row r="6" spans="2:22" s="128" customFormat="1" x14ac:dyDescent="0.2">
      <c r="B6" s="176"/>
      <c r="C6" s="129"/>
      <c r="D6" s="130"/>
      <c r="E6" s="131"/>
      <c r="F6" s="132"/>
      <c r="G6" s="133"/>
      <c r="H6" s="134"/>
    </row>
    <row r="7" spans="2:22" s="128" customFormat="1" x14ac:dyDescent="0.2">
      <c r="B7" s="177"/>
      <c r="C7" s="129"/>
      <c r="D7" s="130"/>
      <c r="E7" s="131"/>
      <c r="F7" s="132"/>
      <c r="G7" s="133"/>
      <c r="H7" s="134"/>
    </row>
    <row r="8" spans="2:22" s="128" customFormat="1" x14ac:dyDescent="0.2">
      <c r="B8" s="176"/>
      <c r="C8" s="129"/>
      <c r="D8" s="130"/>
      <c r="E8" s="131"/>
      <c r="F8" s="132"/>
      <c r="G8" s="133"/>
      <c r="H8" s="134"/>
    </row>
    <row r="9" spans="2:22" s="128" customFormat="1" ht="12" thickBot="1" x14ac:dyDescent="0.25">
      <c r="B9" s="176"/>
      <c r="C9" s="129"/>
      <c r="D9" s="130"/>
      <c r="E9" s="131"/>
      <c r="F9" s="132"/>
      <c r="G9" s="133"/>
      <c r="H9" s="134"/>
    </row>
    <row r="10" spans="2:22" s="128" customFormat="1" ht="12" thickBot="1" x14ac:dyDescent="0.25">
      <c r="C10" s="129"/>
      <c r="D10" s="130"/>
      <c r="E10" s="131"/>
      <c r="F10" s="132"/>
      <c r="G10" s="133"/>
      <c r="H10" s="134"/>
      <c r="P10" s="129"/>
      <c r="Q10" s="178" t="s">
        <v>514</v>
      </c>
      <c r="R10" s="129"/>
      <c r="S10" s="129"/>
      <c r="T10" s="178" t="s">
        <v>514</v>
      </c>
      <c r="U10" s="129"/>
      <c r="V10" s="129"/>
    </row>
    <row r="11" spans="2:22" s="128" customFormat="1" ht="48.75" customHeight="1" thickBot="1" x14ac:dyDescent="0.25">
      <c r="B11" s="179" t="s">
        <v>207</v>
      </c>
      <c r="C11" s="180" t="s">
        <v>510</v>
      </c>
      <c r="D11" s="180" t="s">
        <v>250</v>
      </c>
      <c r="E11" s="180" t="s">
        <v>208</v>
      </c>
      <c r="F11" s="180" t="s">
        <v>511</v>
      </c>
      <c r="G11" s="180" t="s">
        <v>453</v>
      </c>
      <c r="H11" s="180" t="s">
        <v>454</v>
      </c>
      <c r="I11" s="180" t="s">
        <v>455</v>
      </c>
      <c r="J11" s="180" t="s">
        <v>456</v>
      </c>
      <c r="K11" s="180" t="s">
        <v>512</v>
      </c>
      <c r="L11" s="180" t="s">
        <v>520</v>
      </c>
      <c r="M11" s="180" t="s">
        <v>521</v>
      </c>
      <c r="N11" s="180" t="s">
        <v>522</v>
      </c>
      <c r="O11" s="180" t="s">
        <v>513</v>
      </c>
      <c r="P11" s="180" t="s">
        <v>515</v>
      </c>
      <c r="Q11" s="181">
        <v>0.06</v>
      </c>
      <c r="R11" s="180" t="s">
        <v>516</v>
      </c>
      <c r="S11" s="180" t="s">
        <v>517</v>
      </c>
      <c r="T11" s="181">
        <v>0.06</v>
      </c>
      <c r="U11" s="180" t="s">
        <v>518</v>
      </c>
      <c r="V11" s="182" t="s">
        <v>519</v>
      </c>
    </row>
    <row r="12" spans="2:22" s="128" customFormat="1" ht="12" thickBot="1" x14ac:dyDescent="0.25">
      <c r="B12" s="247" t="s">
        <v>539</v>
      </c>
      <c r="C12" s="248"/>
      <c r="D12" s="248"/>
      <c r="E12" s="248"/>
      <c r="F12" s="248"/>
      <c r="G12" s="248"/>
      <c r="H12" s="248"/>
      <c r="I12" s="248"/>
      <c r="J12" s="248"/>
      <c r="K12" s="248"/>
      <c r="L12" s="248"/>
      <c r="M12" s="248"/>
      <c r="N12" s="248"/>
      <c r="O12" s="248"/>
      <c r="P12" s="248"/>
      <c r="Q12" s="248"/>
      <c r="R12" s="248"/>
      <c r="S12" s="248"/>
      <c r="T12" s="248"/>
      <c r="U12" s="248"/>
      <c r="V12" s="249"/>
    </row>
    <row r="13" spans="2:22" x14ac:dyDescent="0.2">
      <c r="B13" s="183" t="s">
        <v>523</v>
      </c>
      <c r="C13" s="184"/>
      <c r="D13" s="185"/>
      <c r="E13" s="186"/>
      <c r="F13" s="187"/>
      <c r="G13" s="188"/>
      <c r="H13" s="189"/>
      <c r="I13" s="188"/>
      <c r="J13" s="189"/>
      <c r="K13" s="190"/>
      <c r="L13" s="190"/>
      <c r="M13" s="190"/>
      <c r="N13" s="190"/>
      <c r="O13" s="190"/>
      <c r="P13" s="137"/>
      <c r="Q13" s="138"/>
      <c r="R13" s="138"/>
      <c r="S13" s="138"/>
      <c r="T13" s="138"/>
      <c r="U13" s="138"/>
      <c r="V13" s="139"/>
    </row>
    <row r="14" spans="2:22" x14ac:dyDescent="0.2">
      <c r="B14" s="191" t="s">
        <v>457</v>
      </c>
      <c r="C14" s="192">
        <v>188</v>
      </c>
      <c r="D14" s="193">
        <v>10572000</v>
      </c>
      <c r="E14" s="194">
        <v>0.09</v>
      </c>
      <c r="F14" s="193">
        <f>+ROUND((D14*E14)+D14,-3)</f>
        <v>11523000</v>
      </c>
      <c r="G14" s="194">
        <v>0.02</v>
      </c>
      <c r="H14" s="193">
        <f>+(F14*G14)+F14</f>
        <v>11753460</v>
      </c>
      <c r="I14" s="194">
        <v>2.5000000000000001E-2</v>
      </c>
      <c r="J14" s="193">
        <f>+(F14*I14)+F14</f>
        <v>11811075</v>
      </c>
      <c r="K14" s="306">
        <f>+L14/((F14+F15)/2)</f>
        <v>919.68204401030641</v>
      </c>
      <c r="L14" s="312">
        <v>9994184772.2600002</v>
      </c>
      <c r="M14" s="306">
        <f>+N14/((F14+F15)/2)</f>
        <v>873.06635324192507</v>
      </c>
      <c r="N14" s="311">
        <v>9487612060.6800003</v>
      </c>
      <c r="O14" s="311">
        <f>L14+N14</f>
        <v>19481796832.940002</v>
      </c>
      <c r="P14" s="311">
        <f>L14/(1+E14)</f>
        <v>9168976855.2844028</v>
      </c>
      <c r="Q14" s="311">
        <f>(P14*$Q$11)+P14</f>
        <v>9719115466.6014671</v>
      </c>
      <c r="R14" s="311">
        <f>+L14-Q14</f>
        <v>275069305.6585331</v>
      </c>
      <c r="S14" s="311">
        <f>N14/(1+E14)</f>
        <v>8704231248.3302746</v>
      </c>
      <c r="T14" s="311">
        <f>(S14*$T$11)+S14</f>
        <v>9226485123.2300911</v>
      </c>
      <c r="U14" s="311">
        <f>N14-T14</f>
        <v>261126937.44990921</v>
      </c>
      <c r="V14" s="308">
        <f>R14+U14</f>
        <v>536196243.10844231</v>
      </c>
    </row>
    <row r="15" spans="2:22" x14ac:dyDescent="0.2">
      <c r="B15" s="191" t="s">
        <v>458</v>
      </c>
      <c r="C15" s="192">
        <v>188</v>
      </c>
      <c r="D15" s="193">
        <v>9368000</v>
      </c>
      <c r="E15" s="194">
        <v>0.09</v>
      </c>
      <c r="F15" s="193">
        <f t="shared" ref="F15:F78" si="0">+ROUND((D15*E15)+D15,-3)</f>
        <v>10211000</v>
      </c>
      <c r="G15" s="194">
        <v>0.02</v>
      </c>
      <c r="H15" s="193">
        <f t="shared" ref="H15:H16" si="1">+(F15*G15)+F15</f>
        <v>10415220</v>
      </c>
      <c r="I15" s="194">
        <v>2.5000000000000001E-2</v>
      </c>
      <c r="J15" s="193">
        <f t="shared" ref="J15:J16" si="2">+(F15*I15)+F15</f>
        <v>10466275</v>
      </c>
      <c r="K15" s="306"/>
      <c r="L15" s="312"/>
      <c r="M15" s="306"/>
      <c r="N15" s="311"/>
      <c r="O15" s="311"/>
      <c r="P15" s="311"/>
      <c r="Q15" s="311"/>
      <c r="R15" s="311"/>
      <c r="S15" s="311"/>
      <c r="T15" s="311"/>
      <c r="U15" s="311"/>
      <c r="V15" s="308"/>
    </row>
    <row r="16" spans="2:22" x14ac:dyDescent="0.2">
      <c r="B16" s="191" t="s">
        <v>209</v>
      </c>
      <c r="C16" s="192">
        <v>188</v>
      </c>
      <c r="D16" s="193">
        <v>10572000</v>
      </c>
      <c r="E16" s="194">
        <v>0.09</v>
      </c>
      <c r="F16" s="193">
        <f t="shared" si="0"/>
        <v>11523000</v>
      </c>
      <c r="G16" s="194">
        <v>0.02</v>
      </c>
      <c r="H16" s="193">
        <f t="shared" si="1"/>
        <v>11753460</v>
      </c>
      <c r="I16" s="194">
        <v>2.5000000000000001E-2</v>
      </c>
      <c r="J16" s="193">
        <f t="shared" si="2"/>
        <v>11811075</v>
      </c>
      <c r="K16" s="195">
        <f>+L16/F16</f>
        <v>911.13762388266946</v>
      </c>
      <c r="L16" s="141">
        <v>10499038840</v>
      </c>
      <c r="M16" s="195">
        <f>+N16/F16</f>
        <v>921.98766553848827</v>
      </c>
      <c r="N16" s="141">
        <v>10624063870</v>
      </c>
      <c r="O16" s="141">
        <f>L16+N16</f>
        <v>21123102710</v>
      </c>
      <c r="P16" s="140">
        <f>L16/(1+E16)</f>
        <v>9632145724.7706413</v>
      </c>
      <c r="Q16" s="141">
        <f>(P16*$Q$11)+P16</f>
        <v>10210074468.25688</v>
      </c>
      <c r="R16" s="141">
        <f>L16-Q16</f>
        <v>288964371.74312019</v>
      </c>
      <c r="S16" s="141">
        <f>N16/(1+E16)</f>
        <v>9746847587.155962</v>
      </c>
      <c r="T16" s="141">
        <f>(S16*$T$11)+S16</f>
        <v>10331658442.385319</v>
      </c>
      <c r="U16" s="141">
        <f>N16-T16</f>
        <v>292405427.61468124</v>
      </c>
      <c r="V16" s="142">
        <f>R16+U16</f>
        <v>581369799.35780144</v>
      </c>
    </row>
    <row r="17" spans="2:22" x14ac:dyDescent="0.2">
      <c r="B17" s="196" t="s">
        <v>524</v>
      </c>
      <c r="C17" s="197"/>
      <c r="D17" s="198"/>
      <c r="E17" s="194"/>
      <c r="F17" s="198"/>
      <c r="G17" s="194"/>
      <c r="H17" s="193"/>
      <c r="I17" s="194"/>
      <c r="J17" s="193"/>
      <c r="K17" s="192"/>
      <c r="L17" s="141"/>
      <c r="M17" s="195"/>
      <c r="N17" s="141"/>
      <c r="O17" s="141"/>
      <c r="P17" s="141"/>
      <c r="Q17" s="141"/>
      <c r="R17" s="141"/>
      <c r="S17" s="141"/>
      <c r="T17" s="141"/>
      <c r="U17" s="141"/>
      <c r="V17" s="142"/>
    </row>
    <row r="18" spans="2:22" x14ac:dyDescent="0.2">
      <c r="B18" s="191" t="s">
        <v>210</v>
      </c>
      <c r="C18" s="192">
        <v>180</v>
      </c>
      <c r="D18" s="193">
        <v>7265000</v>
      </c>
      <c r="E18" s="194">
        <v>0.09</v>
      </c>
      <c r="F18" s="193">
        <f t="shared" si="0"/>
        <v>7919000</v>
      </c>
      <c r="G18" s="194">
        <v>0.02</v>
      </c>
      <c r="H18" s="193">
        <f t="shared" ref="H18:H23" si="3">+(F18*G18)+F18</f>
        <v>8077380</v>
      </c>
      <c r="I18" s="194">
        <v>2.5000000000000001E-2</v>
      </c>
      <c r="J18" s="193">
        <f t="shared" ref="J18:J23" si="4">+(F18*I18)+F18</f>
        <v>8116975</v>
      </c>
      <c r="K18" s="195">
        <f t="shared" ref="K18:K25" si="5">+L18/F18</f>
        <v>142.12892486425056</v>
      </c>
      <c r="L18" s="199">
        <v>1125518956.0000002</v>
      </c>
      <c r="M18" s="195">
        <f t="shared" ref="M18:M25" si="6">+N18/F18</f>
        <v>139.38527781285518</v>
      </c>
      <c r="N18" s="199">
        <v>1103792015.0000002</v>
      </c>
      <c r="O18" s="200">
        <f>L18+N18</f>
        <v>2229310971.0000005</v>
      </c>
      <c r="P18" s="140">
        <f>+L18/(1+E18)</f>
        <v>1032586198.1651378</v>
      </c>
      <c r="Q18" s="141">
        <f>(P18*$Q$11)+P18</f>
        <v>1094541370.0550461</v>
      </c>
      <c r="R18" s="141">
        <f t="shared" ref="R18:R23" si="7">L18-Q18</f>
        <v>30977585.944954157</v>
      </c>
      <c r="S18" s="141">
        <f t="shared" ref="S18:S25" si="8">N18/(1+E18)</f>
        <v>1012653224.7706424</v>
      </c>
      <c r="T18" s="141">
        <f t="shared" ref="T18:T20" si="9">(S18*$T$11)+S18</f>
        <v>1073412418.256881</v>
      </c>
      <c r="U18" s="141">
        <f t="shared" ref="U18:U20" si="10">N18-T18</f>
        <v>30379596.74311924</v>
      </c>
      <c r="V18" s="142">
        <f t="shared" ref="V18:V20" si="11">R18+U18</f>
        <v>61357182.688073397</v>
      </c>
    </row>
    <row r="19" spans="2:22" x14ac:dyDescent="0.2">
      <c r="B19" s="191" t="s">
        <v>211</v>
      </c>
      <c r="C19" s="192">
        <v>171</v>
      </c>
      <c r="D19" s="193">
        <v>7773000</v>
      </c>
      <c r="E19" s="194">
        <v>0.09</v>
      </c>
      <c r="F19" s="193">
        <f t="shared" si="0"/>
        <v>8473000</v>
      </c>
      <c r="G19" s="194">
        <v>0.02</v>
      </c>
      <c r="H19" s="193">
        <f t="shared" si="3"/>
        <v>8642460</v>
      </c>
      <c r="I19" s="194">
        <v>2.5000000000000001E-2</v>
      </c>
      <c r="J19" s="193">
        <f t="shared" si="4"/>
        <v>8684825</v>
      </c>
      <c r="K19" s="195">
        <f t="shared" si="5"/>
        <v>266.67183181871826</v>
      </c>
      <c r="L19" s="199">
        <v>2259510431</v>
      </c>
      <c r="M19" s="195">
        <f t="shared" si="6"/>
        <v>300.02223108698217</v>
      </c>
      <c r="N19" s="199">
        <v>2542088364</v>
      </c>
      <c r="O19" s="200">
        <f t="shared" ref="O19:O23" si="12">L19+N19</f>
        <v>4801598795</v>
      </c>
      <c r="P19" s="141">
        <f>+L19/(1+E19)</f>
        <v>2072945349.5412843</v>
      </c>
      <c r="Q19" s="141">
        <f t="shared" ref="Q19:Q23" si="13">(P19*$Q$11)+P19</f>
        <v>2197322070.5137615</v>
      </c>
      <c r="R19" s="141">
        <f t="shared" si="7"/>
        <v>62188360.48623848</v>
      </c>
      <c r="S19" s="141">
        <f t="shared" si="8"/>
        <v>2332191159.6330276</v>
      </c>
      <c r="T19" s="141">
        <f t="shared" si="9"/>
        <v>2472122629.211009</v>
      </c>
      <c r="U19" s="141">
        <f t="shared" si="10"/>
        <v>69965734.788990974</v>
      </c>
      <c r="V19" s="142">
        <f t="shared" si="11"/>
        <v>132154095.27522945</v>
      </c>
    </row>
    <row r="20" spans="2:22" x14ac:dyDescent="0.2">
      <c r="B20" s="191" t="s">
        <v>212</v>
      </c>
      <c r="C20" s="192">
        <v>180</v>
      </c>
      <c r="D20" s="193">
        <v>7773000</v>
      </c>
      <c r="E20" s="194">
        <v>0.09</v>
      </c>
      <c r="F20" s="193">
        <f t="shared" si="0"/>
        <v>8473000</v>
      </c>
      <c r="G20" s="194">
        <v>0.02</v>
      </c>
      <c r="H20" s="193">
        <f t="shared" si="3"/>
        <v>8642460</v>
      </c>
      <c r="I20" s="194">
        <v>2.5000000000000001E-2</v>
      </c>
      <c r="J20" s="193">
        <f t="shared" si="4"/>
        <v>8684825</v>
      </c>
      <c r="K20" s="195">
        <f t="shared" si="5"/>
        <v>268.24385377080137</v>
      </c>
      <c r="L20" s="199">
        <v>2272830173</v>
      </c>
      <c r="M20" s="195">
        <f t="shared" si="6"/>
        <v>275.10166198512923</v>
      </c>
      <c r="N20" s="199">
        <v>2330936382</v>
      </c>
      <c r="O20" s="200">
        <f t="shared" si="12"/>
        <v>4603766555</v>
      </c>
      <c r="P20" s="141">
        <f t="shared" ref="P20:P25" si="14">+L20/(1+E20)</f>
        <v>2085165296.3302751</v>
      </c>
      <c r="Q20" s="141">
        <f t="shared" si="13"/>
        <v>2210275214.1100917</v>
      </c>
      <c r="R20" s="141">
        <f t="shared" si="7"/>
        <v>62554958.889908314</v>
      </c>
      <c r="S20" s="141">
        <f t="shared" si="8"/>
        <v>2138473744.9541283</v>
      </c>
      <c r="T20" s="141">
        <f t="shared" si="9"/>
        <v>2266782169.6513758</v>
      </c>
      <c r="U20" s="141">
        <f t="shared" si="10"/>
        <v>64154212.348624229</v>
      </c>
      <c r="V20" s="142">
        <f t="shared" si="11"/>
        <v>126709171.23853254</v>
      </c>
    </row>
    <row r="21" spans="2:22" x14ac:dyDescent="0.2">
      <c r="B21" s="191" t="s">
        <v>213</v>
      </c>
      <c r="C21" s="192">
        <v>136</v>
      </c>
      <c r="D21" s="193">
        <v>7773000</v>
      </c>
      <c r="E21" s="194">
        <v>0.09</v>
      </c>
      <c r="F21" s="193">
        <f t="shared" si="0"/>
        <v>8473000</v>
      </c>
      <c r="G21" s="194">
        <v>0.02</v>
      </c>
      <c r="H21" s="193">
        <f t="shared" si="3"/>
        <v>8642460</v>
      </c>
      <c r="I21" s="194">
        <v>2.5000000000000001E-2</v>
      </c>
      <c r="J21" s="193">
        <f t="shared" si="4"/>
        <v>8684825</v>
      </c>
      <c r="K21" s="195">
        <f t="shared" si="5"/>
        <v>250.26025362917503</v>
      </c>
      <c r="L21" s="199">
        <v>2120455129</v>
      </c>
      <c r="M21" s="195">
        <f t="shared" si="6"/>
        <v>227.45732373421455</v>
      </c>
      <c r="N21" s="199">
        <v>1927245904</v>
      </c>
      <c r="O21" s="200">
        <f t="shared" si="12"/>
        <v>4047701033</v>
      </c>
      <c r="P21" s="141">
        <f t="shared" si="14"/>
        <v>1945371677.9816513</v>
      </c>
      <c r="Q21" s="141">
        <f t="shared" si="13"/>
        <v>2062093978.6605504</v>
      </c>
      <c r="R21" s="141">
        <f t="shared" si="7"/>
        <v>58361150.339449644</v>
      </c>
      <c r="S21" s="141">
        <f t="shared" si="8"/>
        <v>1768115508.2568805</v>
      </c>
      <c r="T21" s="141">
        <f>(S21*$T$11)+S21</f>
        <v>1874202438.7522933</v>
      </c>
      <c r="U21" s="141">
        <f>N21-T21</f>
        <v>53043465.247706652</v>
      </c>
      <c r="V21" s="142">
        <f>R21+U21</f>
        <v>111404615.5871563</v>
      </c>
    </row>
    <row r="22" spans="2:22" x14ac:dyDescent="0.2">
      <c r="B22" s="191" t="s">
        <v>214</v>
      </c>
      <c r="C22" s="192"/>
      <c r="D22" s="193">
        <v>7773000</v>
      </c>
      <c r="E22" s="194">
        <v>0.09</v>
      </c>
      <c r="F22" s="193">
        <f t="shared" si="0"/>
        <v>8473000</v>
      </c>
      <c r="G22" s="194">
        <v>0.02</v>
      </c>
      <c r="H22" s="193">
        <f t="shared" si="3"/>
        <v>8642460</v>
      </c>
      <c r="I22" s="194">
        <v>2.5000000000000001E-2</v>
      </c>
      <c r="J22" s="193">
        <f t="shared" si="4"/>
        <v>8684825</v>
      </c>
      <c r="K22" s="195">
        <f t="shared" si="5"/>
        <v>0</v>
      </c>
      <c r="L22" s="141"/>
      <c r="M22" s="195">
        <f t="shared" si="6"/>
        <v>0</v>
      </c>
      <c r="N22" s="141"/>
      <c r="O22" s="201">
        <f t="shared" si="12"/>
        <v>0</v>
      </c>
      <c r="P22" s="141">
        <f t="shared" si="14"/>
        <v>0</v>
      </c>
      <c r="Q22" s="141">
        <f t="shared" si="13"/>
        <v>0</v>
      </c>
      <c r="R22" s="141">
        <v>0</v>
      </c>
      <c r="S22" s="141">
        <v>0</v>
      </c>
      <c r="T22" s="141">
        <v>0</v>
      </c>
      <c r="U22" s="141">
        <v>0</v>
      </c>
      <c r="V22" s="142">
        <v>0</v>
      </c>
    </row>
    <row r="23" spans="2:22" x14ac:dyDescent="0.2">
      <c r="B23" s="191" t="s">
        <v>215</v>
      </c>
      <c r="C23" s="192">
        <v>144</v>
      </c>
      <c r="D23" s="193">
        <v>4624000</v>
      </c>
      <c r="E23" s="194">
        <v>0.09</v>
      </c>
      <c r="F23" s="193">
        <f t="shared" si="0"/>
        <v>5040000</v>
      </c>
      <c r="G23" s="194">
        <v>0.02</v>
      </c>
      <c r="H23" s="193">
        <f t="shared" si="3"/>
        <v>5140800</v>
      </c>
      <c r="I23" s="194">
        <v>2.5000000000000001E-2</v>
      </c>
      <c r="J23" s="193">
        <f t="shared" si="4"/>
        <v>5166000</v>
      </c>
      <c r="K23" s="195">
        <f t="shared" si="5"/>
        <v>79.061143650793653</v>
      </c>
      <c r="L23" s="199">
        <v>398468164</v>
      </c>
      <c r="M23" s="195">
        <f t="shared" si="6"/>
        <v>70.61393551587301</v>
      </c>
      <c r="N23" s="199">
        <v>355894235</v>
      </c>
      <c r="O23" s="200">
        <f t="shared" si="12"/>
        <v>754362399</v>
      </c>
      <c r="P23" s="141">
        <f t="shared" si="14"/>
        <v>365567122.93577981</v>
      </c>
      <c r="Q23" s="141">
        <f t="shared" si="13"/>
        <v>387501150.3119266</v>
      </c>
      <c r="R23" s="141">
        <f t="shared" si="7"/>
        <v>10967013.688073397</v>
      </c>
      <c r="S23" s="141">
        <f t="shared" si="8"/>
        <v>326508472.47706419</v>
      </c>
      <c r="T23" s="141">
        <f t="shared" ref="T23" si="15">(S23*$T$11)+S23</f>
        <v>346098980.82568806</v>
      </c>
      <c r="U23" s="141">
        <f t="shared" ref="U23" si="16">N23-T23</f>
        <v>9795254.1743119359</v>
      </c>
      <c r="V23" s="142">
        <f t="shared" ref="V23" si="17">R23+U23</f>
        <v>20762267.862385333</v>
      </c>
    </row>
    <row r="24" spans="2:22" x14ac:dyDescent="0.2">
      <c r="B24" s="196" t="s">
        <v>525</v>
      </c>
      <c r="C24" s="197"/>
      <c r="D24" s="198"/>
      <c r="E24" s="194"/>
      <c r="F24" s="198"/>
      <c r="G24" s="194"/>
      <c r="H24" s="193"/>
      <c r="I24" s="194"/>
      <c r="J24" s="193"/>
      <c r="K24" s="195"/>
      <c r="L24" s="141"/>
      <c r="M24" s="195"/>
      <c r="N24" s="141"/>
      <c r="O24" s="201"/>
      <c r="P24" s="141"/>
      <c r="Q24" s="141"/>
      <c r="R24" s="141"/>
      <c r="S24" s="141"/>
      <c r="T24" s="141"/>
      <c r="U24" s="141"/>
      <c r="V24" s="142"/>
    </row>
    <row r="25" spans="2:22" x14ac:dyDescent="0.2">
      <c r="B25" s="191" t="s">
        <v>216</v>
      </c>
      <c r="C25" s="192">
        <v>160</v>
      </c>
      <c r="D25" s="193">
        <v>9454000</v>
      </c>
      <c r="E25" s="194">
        <v>0.09</v>
      </c>
      <c r="F25" s="193">
        <f t="shared" si="0"/>
        <v>10305000</v>
      </c>
      <c r="G25" s="194">
        <v>0.02</v>
      </c>
      <c r="H25" s="193">
        <f t="shared" ref="H25:H31" si="18">+(F25*G25)+F25</f>
        <v>10511100</v>
      </c>
      <c r="I25" s="194">
        <v>2.5000000000000001E-2</v>
      </c>
      <c r="J25" s="193">
        <f t="shared" ref="J25:J31" si="19">+(F25*I25)+F25</f>
        <v>10562625</v>
      </c>
      <c r="K25" s="195">
        <f t="shared" si="5"/>
        <v>1202.5956312469675</v>
      </c>
      <c r="L25" s="199">
        <v>12392747980</v>
      </c>
      <c r="M25" s="195">
        <f t="shared" si="6"/>
        <v>1203.6878059194567</v>
      </c>
      <c r="N25" s="199">
        <v>12404002840</v>
      </c>
      <c r="O25" s="200">
        <f>L25+N25</f>
        <v>24796750820</v>
      </c>
      <c r="P25" s="141">
        <f t="shared" si="14"/>
        <v>11369493559.633026</v>
      </c>
      <c r="Q25" s="141">
        <f>(P25*$Q$11)+P25</f>
        <v>12051663173.211008</v>
      </c>
      <c r="R25" s="141">
        <f>L25-Q25</f>
        <v>341084806.78899193</v>
      </c>
      <c r="S25" s="141">
        <f t="shared" si="8"/>
        <v>11379819119.266054</v>
      </c>
      <c r="T25" s="141">
        <f>(S25*$T$11)+S25</f>
        <v>12062608266.422018</v>
      </c>
      <c r="U25" s="141">
        <f>N25-T25</f>
        <v>341394573.57798195</v>
      </c>
      <c r="V25" s="142">
        <f>R25+U25</f>
        <v>682479380.36697388</v>
      </c>
    </row>
    <row r="26" spans="2:22" x14ac:dyDescent="0.2">
      <c r="B26" s="191" t="s">
        <v>459</v>
      </c>
      <c r="C26" s="192">
        <v>160</v>
      </c>
      <c r="D26" s="193">
        <v>9454000</v>
      </c>
      <c r="E26" s="194">
        <v>0.09</v>
      </c>
      <c r="F26" s="193">
        <f t="shared" si="0"/>
        <v>10305000</v>
      </c>
      <c r="G26" s="194">
        <v>0.02</v>
      </c>
      <c r="H26" s="193">
        <f t="shared" si="18"/>
        <v>10511100</v>
      </c>
      <c r="I26" s="194">
        <v>2.5000000000000001E-2</v>
      </c>
      <c r="J26" s="193">
        <f t="shared" si="19"/>
        <v>10562625</v>
      </c>
      <c r="K26" s="306">
        <f>L26/((F26+F27+F28)/3)</f>
        <v>216.9553455292004</v>
      </c>
      <c r="L26" s="312">
        <v>1972630320</v>
      </c>
      <c r="M26" s="306">
        <f>(N26/((F26+F27+F28)/3))</f>
        <v>222.62213073285184</v>
      </c>
      <c r="N26" s="312">
        <v>2024154620</v>
      </c>
      <c r="O26" s="314">
        <f>L26+N26</f>
        <v>3996784940</v>
      </c>
      <c r="P26" s="312">
        <f>+L26/(1+E26)</f>
        <v>1809752587.1559632</v>
      </c>
      <c r="Q26" s="312">
        <f>(P26*$Q$11)+P26</f>
        <v>1918337742.3853209</v>
      </c>
      <c r="R26" s="312">
        <f>+L26-Q26</f>
        <v>54292577.614679098</v>
      </c>
      <c r="S26" s="312">
        <f>N26/(1+E26)</f>
        <v>1857022587.1559632</v>
      </c>
      <c r="T26" s="312">
        <f>(S26*T11)+S26</f>
        <v>1968443942.3853209</v>
      </c>
      <c r="U26" s="312">
        <f>N26-T26</f>
        <v>55710677.614679098</v>
      </c>
      <c r="V26" s="309">
        <f>R26+U26</f>
        <v>110003255.2293582</v>
      </c>
    </row>
    <row r="27" spans="2:22" x14ac:dyDescent="0.2">
      <c r="B27" s="191" t="s">
        <v>460</v>
      </c>
      <c r="C27" s="192">
        <v>160</v>
      </c>
      <c r="D27" s="193">
        <v>8099000</v>
      </c>
      <c r="E27" s="194">
        <v>0.09</v>
      </c>
      <c r="F27" s="193">
        <f t="shared" si="0"/>
        <v>8828000</v>
      </c>
      <c r="G27" s="194">
        <v>0.02</v>
      </c>
      <c r="H27" s="193">
        <f t="shared" si="18"/>
        <v>9004560</v>
      </c>
      <c r="I27" s="194">
        <v>2.5000000000000001E-2</v>
      </c>
      <c r="J27" s="193">
        <f t="shared" si="19"/>
        <v>9048700</v>
      </c>
      <c r="K27" s="306"/>
      <c r="L27" s="312"/>
      <c r="M27" s="306"/>
      <c r="N27" s="312"/>
      <c r="O27" s="314"/>
      <c r="P27" s="312"/>
      <c r="Q27" s="312"/>
      <c r="R27" s="312"/>
      <c r="S27" s="312"/>
      <c r="T27" s="312"/>
      <c r="U27" s="312"/>
      <c r="V27" s="309"/>
    </row>
    <row r="28" spans="2:22" x14ac:dyDescent="0.2">
      <c r="B28" s="191" t="s">
        <v>461</v>
      </c>
      <c r="C28" s="192">
        <v>160</v>
      </c>
      <c r="D28" s="193">
        <v>7472000</v>
      </c>
      <c r="E28" s="194">
        <v>0.09</v>
      </c>
      <c r="F28" s="193">
        <f t="shared" si="0"/>
        <v>8144000</v>
      </c>
      <c r="G28" s="194">
        <v>0.02</v>
      </c>
      <c r="H28" s="193">
        <f t="shared" si="18"/>
        <v>8306880</v>
      </c>
      <c r="I28" s="194">
        <v>2.5000000000000001E-2</v>
      </c>
      <c r="J28" s="193">
        <f t="shared" si="19"/>
        <v>8347600</v>
      </c>
      <c r="K28" s="306"/>
      <c r="L28" s="312"/>
      <c r="M28" s="306"/>
      <c r="N28" s="312"/>
      <c r="O28" s="314"/>
      <c r="P28" s="312"/>
      <c r="Q28" s="312"/>
      <c r="R28" s="312"/>
      <c r="S28" s="312"/>
      <c r="T28" s="312"/>
      <c r="U28" s="312"/>
      <c r="V28" s="309"/>
    </row>
    <row r="29" spans="2:22" x14ac:dyDescent="0.2">
      <c r="B29" s="191" t="s">
        <v>217</v>
      </c>
      <c r="C29" s="192">
        <v>160</v>
      </c>
      <c r="D29" s="193">
        <v>10228000</v>
      </c>
      <c r="E29" s="194">
        <v>0.09</v>
      </c>
      <c r="F29" s="193">
        <f t="shared" si="0"/>
        <v>11149000</v>
      </c>
      <c r="G29" s="194">
        <v>0.02</v>
      </c>
      <c r="H29" s="193">
        <f t="shared" si="18"/>
        <v>11371980</v>
      </c>
      <c r="I29" s="194">
        <v>2.5000000000000001E-2</v>
      </c>
      <c r="J29" s="193">
        <f t="shared" si="19"/>
        <v>11427725</v>
      </c>
      <c r="K29" s="195">
        <f t="shared" ref="K29:K31" si="20">+L29/F29</f>
        <v>545.35334828235716</v>
      </c>
      <c r="L29" s="199">
        <v>6080144480</v>
      </c>
      <c r="M29" s="195">
        <f t="shared" ref="M29:M31" si="21">+N29/F29</f>
        <v>536.83861512243254</v>
      </c>
      <c r="N29" s="199">
        <v>5985213720</v>
      </c>
      <c r="O29" s="200">
        <f t="shared" ref="O29:O31" si="22">L29+N29</f>
        <v>12065358200</v>
      </c>
      <c r="P29" s="141">
        <f>+L29/(1+E29)</f>
        <v>5578114201.8348618</v>
      </c>
      <c r="Q29" s="141">
        <f>(P29*$Q$11)+P29</f>
        <v>5912801053.9449539</v>
      </c>
      <c r="R29" s="141">
        <f>L29-Q29</f>
        <v>167343426.05504608</v>
      </c>
      <c r="S29" s="141">
        <f>N29/(1+E29)</f>
        <v>5491021761.4678898</v>
      </c>
      <c r="T29" s="141">
        <f>(S29*$T$11)+S29</f>
        <v>5820483067.1559629</v>
      </c>
      <c r="U29" s="141">
        <f>N29-T29</f>
        <v>164730652.84403706</v>
      </c>
      <c r="V29" s="142">
        <f>R29+U29</f>
        <v>332074078.89908314</v>
      </c>
    </row>
    <row r="30" spans="2:22" x14ac:dyDescent="0.2">
      <c r="B30" s="191" t="s">
        <v>218</v>
      </c>
      <c r="C30" s="192">
        <v>160</v>
      </c>
      <c r="D30" s="193">
        <v>5045000</v>
      </c>
      <c r="E30" s="194">
        <v>0.09</v>
      </c>
      <c r="F30" s="193">
        <f t="shared" si="0"/>
        <v>5499000</v>
      </c>
      <c r="G30" s="194">
        <v>0.02</v>
      </c>
      <c r="H30" s="193">
        <f t="shared" si="18"/>
        <v>5608980</v>
      </c>
      <c r="I30" s="194">
        <v>2.5000000000000001E-2</v>
      </c>
      <c r="J30" s="193">
        <f t="shared" si="19"/>
        <v>5636475</v>
      </c>
      <c r="K30" s="195">
        <f t="shared" si="20"/>
        <v>240.12931442080378</v>
      </c>
      <c r="L30" s="199">
        <v>1320471100</v>
      </c>
      <c r="M30" s="195">
        <f t="shared" si="21"/>
        <v>221.12873249681761</v>
      </c>
      <c r="N30" s="199">
        <v>1215986900</v>
      </c>
      <c r="O30" s="200">
        <f t="shared" si="22"/>
        <v>2536458000</v>
      </c>
      <c r="P30" s="141">
        <f t="shared" ref="P30:P31" si="23">+L30/(1+E30)</f>
        <v>1211441376.1467888</v>
      </c>
      <c r="Q30" s="141">
        <f t="shared" ref="Q30:Q34" si="24">(P30*$Q$11)+P30</f>
        <v>1284127858.7155962</v>
      </c>
      <c r="R30" s="141">
        <f t="shared" ref="R30:R33" si="25">L30-Q30</f>
        <v>36343241.284403801</v>
      </c>
      <c r="S30" s="141">
        <f t="shared" ref="S30:S34" si="26">N30/(1+E30)</f>
        <v>1115584311.9266055</v>
      </c>
      <c r="T30" s="141">
        <f t="shared" ref="T30:T34" si="27">(S30*$T$11)+S30</f>
        <v>1182519370.6422019</v>
      </c>
      <c r="U30" s="141">
        <f t="shared" ref="U30:U34" si="28">N30-T30</f>
        <v>33467529.3577981</v>
      </c>
      <c r="V30" s="142">
        <f t="shared" ref="V30:V34" si="29">R30+U30</f>
        <v>69810770.6422019</v>
      </c>
    </row>
    <row r="31" spans="2:22" x14ac:dyDescent="0.2">
      <c r="B31" s="191" t="s">
        <v>219</v>
      </c>
      <c r="C31" s="192">
        <v>160</v>
      </c>
      <c r="D31" s="193">
        <v>5045000</v>
      </c>
      <c r="E31" s="194">
        <v>0.09</v>
      </c>
      <c r="F31" s="193">
        <f t="shared" si="0"/>
        <v>5499000</v>
      </c>
      <c r="G31" s="194">
        <v>0.02</v>
      </c>
      <c r="H31" s="193">
        <f t="shared" si="18"/>
        <v>5608980</v>
      </c>
      <c r="I31" s="194">
        <v>2.5000000000000001E-2</v>
      </c>
      <c r="J31" s="193">
        <f t="shared" si="19"/>
        <v>5636475</v>
      </c>
      <c r="K31" s="195">
        <f t="shared" si="20"/>
        <v>368.27733224222584</v>
      </c>
      <c r="L31" s="199">
        <v>2025157050</v>
      </c>
      <c r="M31" s="195">
        <f t="shared" si="21"/>
        <v>313.00284597199493</v>
      </c>
      <c r="N31" s="199">
        <v>1721202650</v>
      </c>
      <c r="O31" s="200">
        <f t="shared" si="22"/>
        <v>3746359700</v>
      </c>
      <c r="P31" s="141">
        <f t="shared" si="23"/>
        <v>1857942247.7064219</v>
      </c>
      <c r="Q31" s="141">
        <f t="shared" si="24"/>
        <v>1969418782.5688071</v>
      </c>
      <c r="R31" s="141">
        <f t="shared" si="25"/>
        <v>55738267.431192875</v>
      </c>
      <c r="S31" s="141">
        <f t="shared" si="26"/>
        <v>1579085000</v>
      </c>
      <c r="T31" s="141">
        <f t="shared" si="27"/>
        <v>1673830100</v>
      </c>
      <c r="U31" s="141">
        <f t="shared" si="28"/>
        <v>47372550</v>
      </c>
      <c r="V31" s="142">
        <f t="shared" si="29"/>
        <v>103110817.43119287</v>
      </c>
    </row>
    <row r="32" spans="2:22" x14ac:dyDescent="0.2">
      <c r="B32" s="196" t="s">
        <v>526</v>
      </c>
      <c r="C32" s="197"/>
      <c r="D32" s="198"/>
      <c r="E32" s="194"/>
      <c r="F32" s="198"/>
      <c r="G32" s="194"/>
      <c r="H32" s="193"/>
      <c r="I32" s="194"/>
      <c r="J32" s="193"/>
      <c r="K32" s="195"/>
      <c r="L32" s="141"/>
      <c r="M32" s="195"/>
      <c r="N32" s="141"/>
      <c r="O32" s="201"/>
      <c r="P32" s="141"/>
      <c r="Q32" s="141"/>
      <c r="R32" s="141"/>
      <c r="S32" s="141"/>
      <c r="T32" s="141"/>
      <c r="U32" s="141"/>
      <c r="V32" s="142"/>
    </row>
    <row r="33" spans="2:22" x14ac:dyDescent="0.2">
      <c r="B33" s="191" t="s">
        <v>220</v>
      </c>
      <c r="C33" s="192">
        <v>178</v>
      </c>
      <c r="D33" s="193">
        <v>9546000</v>
      </c>
      <c r="E33" s="194">
        <v>0.09</v>
      </c>
      <c r="F33" s="193">
        <f t="shared" si="0"/>
        <v>10405000</v>
      </c>
      <c r="G33" s="194">
        <v>0.02</v>
      </c>
      <c r="H33" s="193">
        <f t="shared" ref="H33:H38" si="30">+(F33*G33)+F33</f>
        <v>10613100</v>
      </c>
      <c r="I33" s="194">
        <v>2.5000000000000001E-2</v>
      </c>
      <c r="J33" s="193">
        <f t="shared" ref="J33:J38" si="31">+(F33*I33)+F33</f>
        <v>10665125</v>
      </c>
      <c r="K33" s="195">
        <f t="shared" ref="K33:K34" si="32">+L33/F33</f>
        <v>1479.4707181162903</v>
      </c>
      <c r="L33" s="199">
        <v>15393892822</v>
      </c>
      <c r="M33" s="195">
        <f t="shared" ref="M33:M34" si="33">+N33/F33</f>
        <v>1463.5509427198463</v>
      </c>
      <c r="N33" s="199">
        <v>15228247559</v>
      </c>
      <c r="O33" s="200">
        <f t="shared" ref="O33:O34" si="34">L33+N33</f>
        <v>30622140381</v>
      </c>
      <c r="P33" s="141">
        <f>+L33/(1+E33)</f>
        <v>14122837451.376146</v>
      </c>
      <c r="Q33" s="141">
        <f t="shared" si="24"/>
        <v>14970207698.458715</v>
      </c>
      <c r="R33" s="141">
        <f t="shared" si="25"/>
        <v>423685123.54128456</v>
      </c>
      <c r="S33" s="141">
        <f t="shared" si="26"/>
        <v>13970869320.183485</v>
      </c>
      <c r="T33" s="141">
        <f t="shared" si="27"/>
        <v>14809121479.394493</v>
      </c>
      <c r="U33" s="141">
        <f t="shared" si="28"/>
        <v>419126079.6055069</v>
      </c>
      <c r="V33" s="142">
        <f t="shared" si="29"/>
        <v>842811203.14679146</v>
      </c>
    </row>
    <row r="34" spans="2:22" x14ac:dyDescent="0.2">
      <c r="B34" s="191" t="s">
        <v>221</v>
      </c>
      <c r="C34" s="192">
        <v>180</v>
      </c>
      <c r="D34" s="193">
        <v>6628000</v>
      </c>
      <c r="E34" s="194">
        <v>0.09</v>
      </c>
      <c r="F34" s="193">
        <f t="shared" si="0"/>
        <v>7225000</v>
      </c>
      <c r="G34" s="194">
        <v>0.02</v>
      </c>
      <c r="H34" s="193">
        <f t="shared" si="30"/>
        <v>7369500</v>
      </c>
      <c r="I34" s="194">
        <v>2.5000000000000001E-2</v>
      </c>
      <c r="J34" s="193">
        <f t="shared" si="31"/>
        <v>7405625</v>
      </c>
      <c r="K34" s="195">
        <f t="shared" si="32"/>
        <v>562.28841342560565</v>
      </c>
      <c r="L34" s="199">
        <v>4062533787.0000005</v>
      </c>
      <c r="M34" s="195">
        <f t="shared" si="33"/>
        <v>549.72294435986169</v>
      </c>
      <c r="N34" s="199">
        <v>3971748273.0000005</v>
      </c>
      <c r="O34" s="200">
        <f t="shared" si="34"/>
        <v>8034282060.000001</v>
      </c>
      <c r="P34" s="141">
        <f>+L34/(1+E34)</f>
        <v>3727095217.4311929</v>
      </c>
      <c r="Q34" s="141">
        <f t="shared" si="24"/>
        <v>3950720930.4770646</v>
      </c>
      <c r="R34" s="141">
        <f>L34-Q34</f>
        <v>111812856.52293587</v>
      </c>
      <c r="S34" s="141">
        <f t="shared" si="26"/>
        <v>3643805755.0458717</v>
      </c>
      <c r="T34" s="141">
        <f t="shared" si="27"/>
        <v>3862434100.3486242</v>
      </c>
      <c r="U34" s="141">
        <f t="shared" si="28"/>
        <v>109314172.65137625</v>
      </c>
      <c r="V34" s="142">
        <f t="shared" si="29"/>
        <v>221127029.17431211</v>
      </c>
    </row>
    <row r="35" spans="2:22" x14ac:dyDescent="0.2">
      <c r="B35" s="191" t="s">
        <v>462</v>
      </c>
      <c r="C35" s="192">
        <v>163</v>
      </c>
      <c r="D35" s="193">
        <v>3986000</v>
      </c>
      <c r="E35" s="194">
        <v>0.09</v>
      </c>
      <c r="F35" s="193">
        <f t="shared" si="0"/>
        <v>4345000</v>
      </c>
      <c r="G35" s="194">
        <v>0.02</v>
      </c>
      <c r="H35" s="193">
        <f t="shared" si="30"/>
        <v>4431900</v>
      </c>
      <c r="I35" s="194">
        <v>2.5000000000000001E-2</v>
      </c>
      <c r="J35" s="193">
        <f t="shared" si="31"/>
        <v>4453625</v>
      </c>
      <c r="K35" s="315">
        <f>+(L35/((F35+F36)/2))</f>
        <v>72.721964656253562</v>
      </c>
      <c r="L35" s="313">
        <v>318922176</v>
      </c>
      <c r="M35" s="307">
        <f>(N35/((F35+F36)/2))</f>
        <v>64.66947828069776</v>
      </c>
      <c r="N35" s="313">
        <v>283607997</v>
      </c>
      <c r="O35" s="316">
        <f>L35+N35</f>
        <v>602530173</v>
      </c>
      <c r="P35" s="313">
        <f>+L35/(1+E35)</f>
        <v>292589152.29357797</v>
      </c>
      <c r="Q35" s="313">
        <f>(P35*$Q$11)+P35</f>
        <v>310144501.43119264</v>
      </c>
      <c r="R35" s="313">
        <f>+L35-Q35</f>
        <v>8777674.5688073635</v>
      </c>
      <c r="S35" s="313">
        <f>N35/(1+E35)</f>
        <v>260190822.93577981</v>
      </c>
      <c r="T35" s="313">
        <f>(S35*$T$11)+S35</f>
        <v>275802272.3119266</v>
      </c>
      <c r="U35" s="313">
        <f>N35-T35</f>
        <v>7805724.6880733967</v>
      </c>
      <c r="V35" s="310">
        <f>R35+U35</f>
        <v>16583399.25688076</v>
      </c>
    </row>
    <row r="36" spans="2:22" x14ac:dyDescent="0.2">
      <c r="B36" s="191" t="s">
        <v>463</v>
      </c>
      <c r="C36" s="192">
        <v>163</v>
      </c>
      <c r="D36" s="193">
        <v>4061000</v>
      </c>
      <c r="E36" s="194">
        <v>0.09</v>
      </c>
      <c r="F36" s="193">
        <f t="shared" si="0"/>
        <v>4426000</v>
      </c>
      <c r="G36" s="194">
        <v>0.02</v>
      </c>
      <c r="H36" s="193">
        <f t="shared" si="30"/>
        <v>4514520</v>
      </c>
      <c r="I36" s="194">
        <v>2.5000000000000001E-2</v>
      </c>
      <c r="J36" s="193">
        <f t="shared" si="31"/>
        <v>4536650</v>
      </c>
      <c r="K36" s="315"/>
      <c r="L36" s="313"/>
      <c r="M36" s="307"/>
      <c r="N36" s="313"/>
      <c r="O36" s="316"/>
      <c r="P36" s="313"/>
      <c r="Q36" s="313"/>
      <c r="R36" s="313"/>
      <c r="S36" s="313"/>
      <c r="T36" s="313"/>
      <c r="U36" s="313"/>
      <c r="V36" s="310"/>
    </row>
    <row r="37" spans="2:22" x14ac:dyDescent="0.2">
      <c r="B37" s="191" t="s">
        <v>464</v>
      </c>
      <c r="C37" s="192">
        <v>163</v>
      </c>
      <c r="D37" s="193">
        <v>3986000</v>
      </c>
      <c r="E37" s="194">
        <v>0.09</v>
      </c>
      <c r="F37" s="193">
        <f t="shared" si="0"/>
        <v>4345000</v>
      </c>
      <c r="G37" s="194">
        <v>0.02</v>
      </c>
      <c r="H37" s="193">
        <f t="shared" si="30"/>
        <v>4431900</v>
      </c>
      <c r="I37" s="194">
        <v>2.5000000000000001E-2</v>
      </c>
      <c r="J37" s="193">
        <f t="shared" si="31"/>
        <v>4453625</v>
      </c>
      <c r="K37" s="315">
        <f>+(L37/((F37+F38)/2))</f>
        <v>82.314013453426057</v>
      </c>
      <c r="L37" s="304">
        <v>360988106</v>
      </c>
      <c r="M37" s="307">
        <f>(N37/((F37+F38)/2))</f>
        <v>78.666844373503594</v>
      </c>
      <c r="N37" s="304">
        <v>344993446</v>
      </c>
      <c r="O37" s="316">
        <f>L37+N37</f>
        <v>705981552</v>
      </c>
      <c r="P37" s="313">
        <f>+L37/(1+E37)</f>
        <v>331181748.62385321</v>
      </c>
      <c r="Q37" s="313">
        <f>(P37*Q11)+P37</f>
        <v>351052653.54128438</v>
      </c>
      <c r="R37" s="313">
        <f>+L37-Q37</f>
        <v>9935452.4587156177</v>
      </c>
      <c r="S37" s="313">
        <f>N37/(1+E37)</f>
        <v>316507748.62385321</v>
      </c>
      <c r="T37" s="313">
        <f>(S37*$T$11)+S37</f>
        <v>335498213.54128438</v>
      </c>
      <c r="U37" s="313">
        <f>N37-T37</f>
        <v>9495232.4587156177</v>
      </c>
      <c r="V37" s="310">
        <f>R37+U37</f>
        <v>19430684.917431235</v>
      </c>
    </row>
    <row r="38" spans="2:22" x14ac:dyDescent="0.2">
      <c r="B38" s="191" t="s">
        <v>465</v>
      </c>
      <c r="C38" s="192">
        <v>163</v>
      </c>
      <c r="D38" s="193">
        <v>4061000</v>
      </c>
      <c r="E38" s="194">
        <v>0.09</v>
      </c>
      <c r="F38" s="193">
        <f t="shared" si="0"/>
        <v>4426000</v>
      </c>
      <c r="G38" s="194">
        <v>0.02</v>
      </c>
      <c r="H38" s="193">
        <f t="shared" si="30"/>
        <v>4514520</v>
      </c>
      <c r="I38" s="194">
        <v>2.5000000000000001E-2</v>
      </c>
      <c r="J38" s="193">
        <f t="shared" si="31"/>
        <v>4536650</v>
      </c>
      <c r="K38" s="315"/>
      <c r="L38" s="304"/>
      <c r="M38" s="307"/>
      <c r="N38" s="304"/>
      <c r="O38" s="316"/>
      <c r="P38" s="313"/>
      <c r="Q38" s="313"/>
      <c r="R38" s="313"/>
      <c r="S38" s="313"/>
      <c r="T38" s="313"/>
      <c r="U38" s="313"/>
      <c r="V38" s="310"/>
    </row>
    <row r="39" spans="2:22" x14ac:dyDescent="0.2">
      <c r="B39" s="196" t="s">
        <v>527</v>
      </c>
      <c r="C39" s="197"/>
      <c r="D39" s="198"/>
      <c r="E39" s="194"/>
      <c r="F39" s="198"/>
      <c r="G39" s="194"/>
      <c r="H39" s="193"/>
      <c r="I39" s="194"/>
      <c r="J39" s="193"/>
      <c r="K39" s="195"/>
      <c r="L39" s="141"/>
      <c r="M39" s="195"/>
      <c r="N39" s="141"/>
      <c r="O39" s="201"/>
      <c r="P39" s="141"/>
      <c r="Q39" s="141"/>
      <c r="R39" s="141"/>
      <c r="S39" s="141"/>
      <c r="T39" s="141"/>
      <c r="U39" s="141"/>
      <c r="V39" s="142"/>
    </row>
    <row r="40" spans="2:22" x14ac:dyDescent="0.2">
      <c r="B40" s="191" t="s">
        <v>222</v>
      </c>
      <c r="C40" s="192">
        <v>190</v>
      </c>
      <c r="D40" s="193">
        <v>9919000</v>
      </c>
      <c r="E40" s="194">
        <v>0.09</v>
      </c>
      <c r="F40" s="193">
        <f t="shared" si="0"/>
        <v>10812000</v>
      </c>
      <c r="G40" s="194">
        <v>0.02</v>
      </c>
      <c r="H40" s="193">
        <f>+(F40*G40)+F40</f>
        <v>11028240</v>
      </c>
      <c r="I40" s="194">
        <v>2.5000000000000001E-2</v>
      </c>
      <c r="J40" s="193">
        <f>+(F40*I40)+F40</f>
        <v>11082300</v>
      </c>
      <c r="K40" s="195">
        <f t="shared" ref="K40" si="35">+L40/F40</f>
        <v>1105.9698251942286</v>
      </c>
      <c r="L40" s="199">
        <v>11957745750</v>
      </c>
      <c r="M40" s="195">
        <f t="shared" ref="M40" si="36">+N40/F40</f>
        <v>1105.9698251942286</v>
      </c>
      <c r="N40" s="199">
        <v>11957745750</v>
      </c>
      <c r="O40" s="200">
        <f>L40+N40</f>
        <v>23915491500</v>
      </c>
      <c r="P40" s="141">
        <f>+L40/(1+E40)</f>
        <v>10970408944.954128</v>
      </c>
      <c r="Q40" s="141">
        <f>(P40*$Q$11)+P40</f>
        <v>11628633481.651377</v>
      </c>
      <c r="R40" s="141">
        <f>+L40-Q40</f>
        <v>329112268.34862328</v>
      </c>
      <c r="S40" s="141">
        <f>N40/(1+E40)</f>
        <v>10970408944.954128</v>
      </c>
      <c r="T40" s="141">
        <f>(S40*$T$11)+S40</f>
        <v>11628633481.651377</v>
      </c>
      <c r="U40" s="141">
        <f>N40-T40</f>
        <v>329112268.34862328</v>
      </c>
      <c r="V40" s="142">
        <f>R40+U40</f>
        <v>658224536.69724655</v>
      </c>
    </row>
    <row r="41" spans="2:22" x14ac:dyDescent="0.2">
      <c r="B41" s="196" t="s">
        <v>528</v>
      </c>
      <c r="C41" s="197"/>
      <c r="D41" s="198"/>
      <c r="E41" s="194"/>
      <c r="F41" s="193"/>
      <c r="G41" s="194"/>
      <c r="H41" s="193"/>
      <c r="I41" s="194"/>
      <c r="J41" s="193"/>
      <c r="K41" s="195"/>
      <c r="L41" s="141"/>
      <c r="M41" s="195"/>
      <c r="N41" s="141"/>
      <c r="O41" s="201"/>
      <c r="P41" s="141"/>
      <c r="Q41" s="141"/>
      <c r="R41" s="141"/>
      <c r="S41" s="141"/>
      <c r="T41" s="141"/>
      <c r="U41" s="141"/>
      <c r="V41" s="142"/>
    </row>
    <row r="42" spans="2:22" x14ac:dyDescent="0.2">
      <c r="B42" s="191" t="s">
        <v>223</v>
      </c>
      <c r="C42" s="192">
        <v>160</v>
      </c>
      <c r="D42" s="193">
        <v>5906000</v>
      </c>
      <c r="E42" s="194">
        <v>0.09</v>
      </c>
      <c r="F42" s="193">
        <f t="shared" si="0"/>
        <v>6438000</v>
      </c>
      <c r="G42" s="194">
        <v>0.02</v>
      </c>
      <c r="H42" s="193">
        <f>+(F42*G42)+F42</f>
        <v>6566760</v>
      </c>
      <c r="I42" s="194">
        <v>2.5000000000000001E-2</v>
      </c>
      <c r="J42" s="193">
        <f>+(F42*I42)+F42</f>
        <v>6598950</v>
      </c>
      <c r="K42" s="195">
        <f t="shared" ref="K42" si="37">+L42/F42</f>
        <v>321.18403230817029</v>
      </c>
      <c r="L42" s="199">
        <v>2067782800.0000002</v>
      </c>
      <c r="M42" s="195">
        <f t="shared" ref="M42" si="38">+N42/F42</f>
        <v>335.34343895619764</v>
      </c>
      <c r="N42" s="199">
        <v>2158941060.0000005</v>
      </c>
      <c r="O42" s="200">
        <f t="shared" ref="O42" si="39">L42+N42</f>
        <v>4226723860.000001</v>
      </c>
      <c r="P42" s="141">
        <f>+L42/(1+E42)</f>
        <v>1897048440.3669724</v>
      </c>
      <c r="Q42" s="141">
        <f t="shared" ref="Q42:Q45" si="40">(P42*$Q$11)+P42</f>
        <v>2010871346.7889907</v>
      </c>
      <c r="R42" s="141">
        <f t="shared" ref="R42:R75" si="41">+L42-Q42</f>
        <v>56911453.211009502</v>
      </c>
      <c r="S42" s="141">
        <f t="shared" ref="S42:S77" si="42">N42/(1+E42)</f>
        <v>1980679871.5596333</v>
      </c>
      <c r="T42" s="141">
        <f>(S42*$T$11)+S42</f>
        <v>2099520663.8532112</v>
      </c>
      <c r="U42" s="141">
        <f t="shared" ref="U42:U45" si="43">N42-T42</f>
        <v>59420396.146789312</v>
      </c>
      <c r="V42" s="142">
        <f t="shared" ref="V42:V45" si="44">R42+U42</f>
        <v>116331849.35779881</v>
      </c>
    </row>
    <row r="43" spans="2:22" x14ac:dyDescent="0.2">
      <c r="B43" s="196" t="s">
        <v>529</v>
      </c>
      <c r="C43" s="197"/>
      <c r="D43" s="198"/>
      <c r="E43" s="194"/>
      <c r="F43" s="193"/>
      <c r="G43" s="194"/>
      <c r="H43" s="193"/>
      <c r="I43" s="194"/>
      <c r="J43" s="193"/>
      <c r="K43" s="195"/>
      <c r="L43" s="141"/>
      <c r="M43" s="195"/>
      <c r="N43" s="141"/>
      <c r="O43" s="201"/>
      <c r="P43" s="141"/>
      <c r="Q43" s="141"/>
      <c r="R43" s="141"/>
      <c r="S43" s="141"/>
      <c r="T43" s="141"/>
      <c r="U43" s="141"/>
      <c r="V43" s="142"/>
    </row>
    <row r="44" spans="2:22" x14ac:dyDescent="0.2">
      <c r="B44" s="191" t="s">
        <v>224</v>
      </c>
      <c r="C44" s="192">
        <v>178</v>
      </c>
      <c r="D44" s="193">
        <v>9264000</v>
      </c>
      <c r="E44" s="194">
        <v>0.09</v>
      </c>
      <c r="F44" s="193">
        <f t="shared" si="0"/>
        <v>10098000</v>
      </c>
      <c r="G44" s="194">
        <v>0.02</v>
      </c>
      <c r="H44" s="193">
        <f t="shared" ref="H44:H46" si="45">+(F44*G44)+F44</f>
        <v>10299960</v>
      </c>
      <c r="I44" s="194">
        <v>2.5000000000000001E-2</v>
      </c>
      <c r="J44" s="193">
        <f t="shared" ref="J44:J46" si="46">+(F44*I44)+F44</f>
        <v>10350450</v>
      </c>
      <c r="K44" s="195">
        <f t="shared" ref="K44:K46" si="47">+L44/F44</f>
        <v>427.69576549811842</v>
      </c>
      <c r="L44" s="199">
        <v>4318871840</v>
      </c>
      <c r="M44" s="195">
        <f t="shared" ref="M44:M46" si="48">+N44/F44</f>
        <v>429.86451178451176</v>
      </c>
      <c r="N44" s="199">
        <v>4340771840</v>
      </c>
      <c r="O44" s="200">
        <f t="shared" ref="O44:O46" si="49">L44+N44</f>
        <v>8659643680</v>
      </c>
      <c r="P44" s="141">
        <f t="shared" ref="P44:P50" si="50">+L44/(1+E44)</f>
        <v>3962267743.1192656</v>
      </c>
      <c r="Q44" s="141">
        <f t="shared" si="40"/>
        <v>4200003807.7064214</v>
      </c>
      <c r="R44" s="141">
        <f t="shared" si="41"/>
        <v>118868032.29357862</v>
      </c>
      <c r="S44" s="141">
        <f t="shared" si="42"/>
        <v>3982359486.2385316</v>
      </c>
      <c r="T44" s="141">
        <f t="shared" ref="T44:T45" si="51">(S44*$T$11)+S44</f>
        <v>4221301055.4128437</v>
      </c>
      <c r="U44" s="141">
        <f t="shared" si="43"/>
        <v>119470784.5871563</v>
      </c>
      <c r="V44" s="142">
        <f t="shared" si="44"/>
        <v>238338816.88073492</v>
      </c>
    </row>
    <row r="45" spans="2:22" x14ac:dyDescent="0.2">
      <c r="B45" s="191" t="s">
        <v>225</v>
      </c>
      <c r="C45" s="192">
        <v>170</v>
      </c>
      <c r="D45" s="193">
        <v>9264000</v>
      </c>
      <c r="E45" s="194">
        <v>0.09</v>
      </c>
      <c r="F45" s="193">
        <f t="shared" si="0"/>
        <v>10098000</v>
      </c>
      <c r="G45" s="194">
        <v>0.02</v>
      </c>
      <c r="H45" s="193">
        <f t="shared" si="45"/>
        <v>10299960</v>
      </c>
      <c r="I45" s="194">
        <v>2.5000000000000001E-2</v>
      </c>
      <c r="J45" s="193">
        <f t="shared" si="46"/>
        <v>10350450</v>
      </c>
      <c r="K45" s="195">
        <f t="shared" si="47"/>
        <v>535.3111982570806</v>
      </c>
      <c r="L45" s="199">
        <v>5405572480</v>
      </c>
      <c r="M45" s="195">
        <f t="shared" si="48"/>
        <v>540.33044167161813</v>
      </c>
      <c r="N45" s="199">
        <v>5456256800</v>
      </c>
      <c r="O45" s="200">
        <f t="shared" si="49"/>
        <v>10861829280</v>
      </c>
      <c r="P45" s="141">
        <f t="shared" si="50"/>
        <v>4959240807.3394489</v>
      </c>
      <c r="Q45" s="141">
        <f t="shared" si="40"/>
        <v>5256795255.7798157</v>
      </c>
      <c r="R45" s="141">
        <f t="shared" si="41"/>
        <v>148777224.22018433</v>
      </c>
      <c r="S45" s="141">
        <f t="shared" si="42"/>
        <v>5005740183.4862385</v>
      </c>
      <c r="T45" s="141">
        <f t="shared" si="51"/>
        <v>5306084594.4954128</v>
      </c>
      <c r="U45" s="141">
        <f t="shared" si="43"/>
        <v>150172205.50458717</v>
      </c>
      <c r="V45" s="142">
        <f t="shared" si="44"/>
        <v>298949429.7247715</v>
      </c>
    </row>
    <row r="46" spans="2:22" x14ac:dyDescent="0.2">
      <c r="B46" s="191" t="s">
        <v>226</v>
      </c>
      <c r="C46" s="192">
        <v>153</v>
      </c>
      <c r="D46" s="193">
        <v>9264000</v>
      </c>
      <c r="E46" s="194">
        <v>0.09</v>
      </c>
      <c r="F46" s="193">
        <f t="shared" si="0"/>
        <v>10098000</v>
      </c>
      <c r="G46" s="194">
        <v>0.02</v>
      </c>
      <c r="H46" s="193">
        <f t="shared" si="45"/>
        <v>10299960</v>
      </c>
      <c r="I46" s="194">
        <v>2.5000000000000001E-2</v>
      </c>
      <c r="J46" s="193">
        <f t="shared" si="46"/>
        <v>10350450</v>
      </c>
      <c r="K46" s="195">
        <f t="shared" si="47"/>
        <v>190.66932857991682</v>
      </c>
      <c r="L46" s="199">
        <v>1925378880</v>
      </c>
      <c r="M46" s="195">
        <f t="shared" si="48"/>
        <v>213.96587046939987</v>
      </c>
      <c r="N46" s="199">
        <v>2160627360</v>
      </c>
      <c r="O46" s="200">
        <f t="shared" si="49"/>
        <v>4086006240</v>
      </c>
      <c r="P46" s="141">
        <f t="shared" si="50"/>
        <v>1766402642.2018347</v>
      </c>
      <c r="Q46" s="141">
        <f>(P46*$Q$11)+P46</f>
        <v>1872386800.7339447</v>
      </c>
      <c r="R46" s="141">
        <f t="shared" si="41"/>
        <v>52992079.266055346</v>
      </c>
      <c r="S46" s="141">
        <f t="shared" si="42"/>
        <v>1982226935.7798164</v>
      </c>
      <c r="T46" s="141">
        <f>(S46*$T$11)+S46</f>
        <v>2101160551.9266055</v>
      </c>
      <c r="U46" s="141">
        <f>N46-T46</f>
        <v>59466808.073394537</v>
      </c>
      <c r="V46" s="142">
        <f>R46+U46</f>
        <v>112458887.33944988</v>
      </c>
    </row>
    <row r="47" spans="2:22" x14ac:dyDescent="0.2">
      <c r="B47" s="196" t="s">
        <v>530</v>
      </c>
      <c r="C47" s="197"/>
      <c r="D47" s="198"/>
      <c r="E47" s="194"/>
      <c r="F47" s="198"/>
      <c r="G47" s="194"/>
      <c r="H47" s="193"/>
      <c r="I47" s="194"/>
      <c r="J47" s="193"/>
      <c r="K47" s="195"/>
      <c r="L47" s="141"/>
      <c r="M47" s="195"/>
      <c r="N47" s="141"/>
      <c r="O47" s="201"/>
      <c r="P47" s="141"/>
      <c r="Q47" s="141"/>
      <c r="R47" s="141"/>
      <c r="S47" s="141"/>
      <c r="T47" s="141"/>
      <c r="U47" s="141"/>
      <c r="V47" s="142"/>
    </row>
    <row r="48" spans="2:22" x14ac:dyDescent="0.2">
      <c r="B48" s="191" t="s">
        <v>227</v>
      </c>
      <c r="C48" s="192">
        <v>140</v>
      </c>
      <c r="D48" s="193">
        <v>6859000</v>
      </c>
      <c r="E48" s="194">
        <v>0.09</v>
      </c>
      <c r="F48" s="193">
        <f t="shared" si="0"/>
        <v>7476000</v>
      </c>
      <c r="G48" s="194">
        <v>0.02</v>
      </c>
      <c r="H48" s="193">
        <f t="shared" ref="H48:H51" si="52">+(F48*G48)+F48</f>
        <v>7625520</v>
      </c>
      <c r="I48" s="194">
        <v>2.5000000000000001E-2</v>
      </c>
      <c r="J48" s="193">
        <f t="shared" ref="J48:J51" si="53">+(F48*I48)+F48</f>
        <v>7662900</v>
      </c>
      <c r="K48" s="195">
        <f t="shared" ref="K48:K51" si="54">+L48/F48</f>
        <v>124.84832356875336</v>
      </c>
      <c r="L48" s="199">
        <v>933366067.00000012</v>
      </c>
      <c r="M48" s="195">
        <f t="shared" ref="M48:M51" si="55">+N48/F48</f>
        <v>130.39097779561266</v>
      </c>
      <c r="N48" s="199">
        <v>974802950.00000012</v>
      </c>
      <c r="O48" s="200">
        <f t="shared" ref="O48:O51" si="56">L48+N48</f>
        <v>1908169017.0000002</v>
      </c>
      <c r="P48" s="141">
        <f t="shared" si="50"/>
        <v>856299144.03669727</v>
      </c>
      <c r="Q48" s="141">
        <f t="shared" ref="Q48:Q77" si="57">(P48*$Q$11)+P48</f>
        <v>907677092.67889905</v>
      </c>
      <c r="R48" s="141">
        <f t="shared" si="41"/>
        <v>25688974.321101069</v>
      </c>
      <c r="S48" s="141">
        <f t="shared" si="42"/>
        <v>894314633.02752292</v>
      </c>
      <c r="T48" s="141">
        <f t="shared" ref="T48:T77" si="58">(S48*$T$11)+S48</f>
        <v>947973511.00917435</v>
      </c>
      <c r="U48" s="141">
        <f t="shared" ref="U48:U78" si="59">N48-T48</f>
        <v>26829438.990825772</v>
      </c>
      <c r="V48" s="142">
        <f t="shared" ref="V48:V50" si="60">R48+U48</f>
        <v>52518413.311926842</v>
      </c>
    </row>
    <row r="49" spans="2:22" x14ac:dyDescent="0.2">
      <c r="B49" s="191" t="s">
        <v>228</v>
      </c>
      <c r="C49" s="192">
        <v>140</v>
      </c>
      <c r="D49" s="193">
        <v>6859000</v>
      </c>
      <c r="E49" s="194">
        <v>0.09</v>
      </c>
      <c r="F49" s="193">
        <f t="shared" si="0"/>
        <v>7476000</v>
      </c>
      <c r="G49" s="194">
        <v>0.02</v>
      </c>
      <c r="H49" s="193">
        <f t="shared" si="52"/>
        <v>7625520</v>
      </c>
      <c r="I49" s="194">
        <v>2.5000000000000001E-2</v>
      </c>
      <c r="J49" s="193">
        <f t="shared" si="53"/>
        <v>7662900</v>
      </c>
      <c r="K49" s="195">
        <f t="shared" si="54"/>
        <v>236.76750267522743</v>
      </c>
      <c r="L49" s="199">
        <v>1770073850.0000002</v>
      </c>
      <c r="M49" s="195">
        <f t="shared" si="55"/>
        <v>242.15143793472447</v>
      </c>
      <c r="N49" s="199">
        <v>1810324150.0000002</v>
      </c>
      <c r="O49" s="200">
        <f t="shared" si="56"/>
        <v>3580398000.0000005</v>
      </c>
      <c r="P49" s="141">
        <f t="shared" si="50"/>
        <v>1623920963.3027525</v>
      </c>
      <c r="Q49" s="141">
        <f t="shared" si="57"/>
        <v>1721356221.1009176</v>
      </c>
      <c r="R49" s="141">
        <f t="shared" si="41"/>
        <v>48717628.899082661</v>
      </c>
      <c r="S49" s="141">
        <f t="shared" si="42"/>
        <v>1660847844.0366974</v>
      </c>
      <c r="T49" s="141">
        <f t="shared" si="58"/>
        <v>1760498714.6788993</v>
      </c>
      <c r="U49" s="141">
        <f t="shared" si="59"/>
        <v>49825435.32110095</v>
      </c>
      <c r="V49" s="142">
        <f t="shared" si="60"/>
        <v>98543064.220183611</v>
      </c>
    </row>
    <row r="50" spans="2:22" x14ac:dyDescent="0.2">
      <c r="B50" s="191" t="s">
        <v>229</v>
      </c>
      <c r="C50" s="192">
        <v>150</v>
      </c>
      <c r="D50" s="193">
        <v>6859000</v>
      </c>
      <c r="E50" s="194">
        <v>0.09</v>
      </c>
      <c r="F50" s="193">
        <f t="shared" si="0"/>
        <v>7476000</v>
      </c>
      <c r="G50" s="194">
        <v>0.02</v>
      </c>
      <c r="H50" s="193">
        <f>+(F50*G50)+F50</f>
        <v>7625520</v>
      </c>
      <c r="I50" s="194">
        <v>2.5000000000000001E-2</v>
      </c>
      <c r="J50" s="193">
        <f>+(F50*I50)+F50</f>
        <v>7662900</v>
      </c>
      <c r="K50" s="195">
        <f t="shared" si="54"/>
        <v>169.5299652220439</v>
      </c>
      <c r="L50" s="199">
        <v>1267406020.0000002</v>
      </c>
      <c r="M50" s="195">
        <f t="shared" si="55"/>
        <v>172.53008962011774</v>
      </c>
      <c r="N50" s="199">
        <v>1289834950.0000002</v>
      </c>
      <c r="O50" s="200">
        <f t="shared" si="56"/>
        <v>2557240970.0000005</v>
      </c>
      <c r="P50" s="140">
        <f t="shared" si="50"/>
        <v>1162757816.5137615</v>
      </c>
      <c r="Q50" s="141">
        <f t="shared" si="57"/>
        <v>1232523285.5045872</v>
      </c>
      <c r="R50" s="141">
        <f t="shared" si="41"/>
        <v>34882734.495413065</v>
      </c>
      <c r="S50" s="141">
        <f t="shared" si="42"/>
        <v>1183334816.5137615</v>
      </c>
      <c r="T50" s="141">
        <f t="shared" si="58"/>
        <v>1254334905.5045872</v>
      </c>
      <c r="U50" s="141">
        <f t="shared" si="59"/>
        <v>35500044.495413065</v>
      </c>
      <c r="V50" s="142">
        <f t="shared" si="60"/>
        <v>70382778.99082613</v>
      </c>
    </row>
    <row r="51" spans="2:22" x14ac:dyDescent="0.2">
      <c r="B51" s="191" t="s">
        <v>230</v>
      </c>
      <c r="C51" s="192">
        <v>150</v>
      </c>
      <c r="D51" s="193">
        <v>6859000</v>
      </c>
      <c r="E51" s="194">
        <v>0.09</v>
      </c>
      <c r="F51" s="193">
        <f t="shared" si="0"/>
        <v>7476000</v>
      </c>
      <c r="G51" s="194">
        <v>0.02</v>
      </c>
      <c r="H51" s="193">
        <f t="shared" si="52"/>
        <v>7625520</v>
      </c>
      <c r="I51" s="194">
        <v>2.5000000000000001E-2</v>
      </c>
      <c r="J51" s="193">
        <f t="shared" si="53"/>
        <v>7662900</v>
      </c>
      <c r="K51" s="195">
        <f t="shared" si="54"/>
        <v>129.50144074371323</v>
      </c>
      <c r="L51" s="199">
        <v>968152771.00000012</v>
      </c>
      <c r="M51" s="195">
        <f t="shared" si="55"/>
        <v>125.43981340288926</v>
      </c>
      <c r="N51" s="199">
        <v>937788045.00000012</v>
      </c>
      <c r="O51" s="200">
        <f t="shared" si="56"/>
        <v>1905940816.0000002</v>
      </c>
      <c r="P51" s="140">
        <f>+L51/(1+E51)</f>
        <v>888213551.37614679</v>
      </c>
      <c r="Q51" s="141">
        <f t="shared" si="57"/>
        <v>941506364.45871556</v>
      </c>
      <c r="R51" s="141">
        <f t="shared" si="41"/>
        <v>26646406.541284561</v>
      </c>
      <c r="S51" s="141">
        <f t="shared" si="42"/>
        <v>860356004.58715606</v>
      </c>
      <c r="T51" s="141">
        <f t="shared" si="58"/>
        <v>911977364.86238539</v>
      </c>
      <c r="U51" s="141">
        <f t="shared" si="59"/>
        <v>25810680.137614727</v>
      </c>
      <c r="V51" s="142">
        <f>R51+U51</f>
        <v>52457086.678899288</v>
      </c>
    </row>
    <row r="52" spans="2:22" x14ac:dyDescent="0.2">
      <c r="B52" s="196" t="s">
        <v>531</v>
      </c>
      <c r="C52" s="197"/>
      <c r="D52" s="193"/>
      <c r="E52" s="194"/>
      <c r="F52" s="193"/>
      <c r="G52" s="194"/>
      <c r="H52" s="193"/>
      <c r="I52" s="194"/>
      <c r="J52" s="193"/>
      <c r="K52" s="195"/>
      <c r="L52" s="141"/>
      <c r="M52" s="195"/>
      <c r="N52" s="141"/>
      <c r="O52" s="201"/>
      <c r="P52" s="140"/>
      <c r="Q52" s="141"/>
      <c r="R52" s="141"/>
      <c r="S52" s="141"/>
      <c r="T52" s="141"/>
      <c r="U52" s="141"/>
      <c r="V52" s="142"/>
    </row>
    <row r="53" spans="2:22" x14ac:dyDescent="0.2">
      <c r="B53" s="191" t="s">
        <v>232</v>
      </c>
      <c r="C53" s="192">
        <v>186</v>
      </c>
      <c r="D53" s="193">
        <v>5260000</v>
      </c>
      <c r="E53" s="194">
        <v>0.09</v>
      </c>
      <c r="F53" s="193">
        <f t="shared" si="0"/>
        <v>5733000</v>
      </c>
      <c r="G53" s="194">
        <v>0.02</v>
      </c>
      <c r="H53" s="193">
        <f t="shared" ref="H53:H54" si="61">+(F53*G53)+F53</f>
        <v>5847660</v>
      </c>
      <c r="I53" s="194">
        <v>2.5000000000000001E-2</v>
      </c>
      <c r="J53" s="193">
        <f t="shared" ref="J53:J54" si="62">+(F53*I53)+F53</f>
        <v>5876325</v>
      </c>
      <c r="K53" s="195">
        <f t="shared" ref="K53:K54" si="63">+L53/F53</f>
        <v>27.990301761730333</v>
      </c>
      <c r="L53" s="199">
        <v>160468400</v>
      </c>
      <c r="M53" s="195">
        <f t="shared" ref="M53:M54" si="64">+N53/F53</f>
        <v>28.356602128030698</v>
      </c>
      <c r="N53" s="199">
        <v>162568400</v>
      </c>
      <c r="O53" s="200">
        <f t="shared" ref="O53:O54" si="65">L53+N53</f>
        <v>323036800</v>
      </c>
      <c r="P53" s="140">
        <f t="shared" ref="P53" si="66">+L53/(1+E53)</f>
        <v>147218715.59633026</v>
      </c>
      <c r="Q53" s="141">
        <f t="shared" si="57"/>
        <v>156051838.53211007</v>
      </c>
      <c r="R53" s="141">
        <f t="shared" si="41"/>
        <v>4416561.4678899348</v>
      </c>
      <c r="S53" s="141">
        <f t="shared" si="42"/>
        <v>149145321.10091743</v>
      </c>
      <c r="T53" s="141">
        <f t="shared" si="58"/>
        <v>158094040.36697248</v>
      </c>
      <c r="U53" s="141">
        <f t="shared" si="59"/>
        <v>4474359.6330275238</v>
      </c>
      <c r="V53" s="142">
        <f t="shared" ref="V53:V58" si="67">R53+U53</f>
        <v>8890921.1009174585</v>
      </c>
    </row>
    <row r="54" spans="2:22" x14ac:dyDescent="0.2">
      <c r="B54" s="191" t="s">
        <v>231</v>
      </c>
      <c r="C54" s="192">
        <v>150</v>
      </c>
      <c r="D54" s="193">
        <v>5260000</v>
      </c>
      <c r="E54" s="194">
        <v>0.09</v>
      </c>
      <c r="F54" s="193">
        <f t="shared" si="0"/>
        <v>5733000</v>
      </c>
      <c r="G54" s="194">
        <v>0.02</v>
      </c>
      <c r="H54" s="193">
        <f t="shared" si="61"/>
        <v>5847660</v>
      </c>
      <c r="I54" s="194">
        <v>2.5000000000000001E-2</v>
      </c>
      <c r="J54" s="193">
        <f t="shared" si="62"/>
        <v>5876325</v>
      </c>
      <c r="K54" s="195">
        <f t="shared" si="63"/>
        <v>130.9798360369789</v>
      </c>
      <c r="L54" s="199">
        <v>750907400</v>
      </c>
      <c r="M54" s="195">
        <f t="shared" si="64"/>
        <v>131.85197976626549</v>
      </c>
      <c r="N54" s="199">
        <v>755907400</v>
      </c>
      <c r="O54" s="200">
        <f t="shared" si="65"/>
        <v>1506814800</v>
      </c>
      <c r="P54" s="140">
        <f>+L54/(1+E54)</f>
        <v>688905871.55963302</v>
      </c>
      <c r="Q54" s="141">
        <f t="shared" si="57"/>
        <v>730240223.85321105</v>
      </c>
      <c r="R54" s="141">
        <f t="shared" si="41"/>
        <v>20667176.146788955</v>
      </c>
      <c r="S54" s="141">
        <f t="shared" si="42"/>
        <v>693493027.52293575</v>
      </c>
      <c r="T54" s="141">
        <f t="shared" si="58"/>
        <v>735102609.17431188</v>
      </c>
      <c r="U54" s="141">
        <f t="shared" si="59"/>
        <v>20804790.825688124</v>
      </c>
      <c r="V54" s="142">
        <f t="shared" si="67"/>
        <v>41471966.972477078</v>
      </c>
    </row>
    <row r="55" spans="2:22" x14ac:dyDescent="0.2">
      <c r="B55" s="196" t="s">
        <v>532</v>
      </c>
      <c r="C55" s="197"/>
      <c r="D55" s="193"/>
      <c r="E55" s="194"/>
      <c r="F55" s="193"/>
      <c r="G55" s="194"/>
      <c r="H55" s="193"/>
      <c r="I55" s="194"/>
      <c r="J55" s="193"/>
      <c r="K55" s="195"/>
      <c r="L55" s="141"/>
      <c r="M55" s="195"/>
      <c r="N55" s="141"/>
      <c r="O55" s="201"/>
      <c r="P55" s="140"/>
      <c r="Q55" s="141"/>
      <c r="R55" s="141"/>
      <c r="S55" s="141"/>
      <c r="T55" s="141"/>
      <c r="U55" s="141"/>
      <c r="V55" s="142"/>
    </row>
    <row r="56" spans="2:22" x14ac:dyDescent="0.2">
      <c r="B56" s="191" t="s">
        <v>233</v>
      </c>
      <c r="C56" s="192">
        <v>162</v>
      </c>
      <c r="D56" s="193">
        <v>9971000</v>
      </c>
      <c r="E56" s="194">
        <v>0.09</v>
      </c>
      <c r="F56" s="193">
        <f t="shared" si="0"/>
        <v>10868000</v>
      </c>
      <c r="G56" s="194">
        <v>0.02</v>
      </c>
      <c r="H56" s="193">
        <f t="shared" ref="H56:H59" si="68">+(F56*G56)+F56</f>
        <v>11085360</v>
      </c>
      <c r="I56" s="194">
        <v>2.5000000000000001E-2</v>
      </c>
      <c r="J56" s="193">
        <f t="shared" ref="J56:J59" si="69">+(F56*I56)+F56</f>
        <v>11139700</v>
      </c>
      <c r="K56" s="195">
        <f t="shared" ref="K56:K59" si="70">+L56/F56</f>
        <v>812.26043062200961</v>
      </c>
      <c r="L56" s="199">
        <v>8827646360</v>
      </c>
      <c r="M56" s="195">
        <f t="shared" ref="M56:M59" si="71">+N56/F56</f>
        <v>778.93821218255425</v>
      </c>
      <c r="N56" s="199">
        <v>8465500490</v>
      </c>
      <c r="O56" s="200">
        <f t="shared" ref="O56:O59" si="72">L56+N56</f>
        <v>17293146850</v>
      </c>
      <c r="P56" s="140">
        <f t="shared" ref="P56:P77" si="73">+L56/(1+E56)</f>
        <v>8098758128.4403667</v>
      </c>
      <c r="Q56" s="141">
        <f t="shared" si="57"/>
        <v>8584683616.1467886</v>
      </c>
      <c r="R56" s="141">
        <f t="shared" si="41"/>
        <v>242962743.8532114</v>
      </c>
      <c r="S56" s="141">
        <f t="shared" si="42"/>
        <v>7766514211.0091734</v>
      </c>
      <c r="T56" s="141">
        <f t="shared" si="58"/>
        <v>8232505063.6697235</v>
      </c>
      <c r="U56" s="141">
        <f t="shared" si="59"/>
        <v>232995426.33027649</v>
      </c>
      <c r="V56" s="142">
        <f t="shared" si="67"/>
        <v>475958170.18348789</v>
      </c>
    </row>
    <row r="57" spans="2:22" x14ac:dyDescent="0.2">
      <c r="B57" s="191" t="s">
        <v>234</v>
      </c>
      <c r="C57" s="192">
        <v>174</v>
      </c>
      <c r="D57" s="193">
        <v>9971000</v>
      </c>
      <c r="E57" s="194">
        <v>0.09</v>
      </c>
      <c r="F57" s="193">
        <f t="shared" si="0"/>
        <v>10868000</v>
      </c>
      <c r="G57" s="194">
        <v>0.02</v>
      </c>
      <c r="H57" s="193">
        <f t="shared" si="68"/>
        <v>11085360</v>
      </c>
      <c r="I57" s="194">
        <v>2.5000000000000001E-2</v>
      </c>
      <c r="J57" s="193">
        <f t="shared" si="69"/>
        <v>11139700</v>
      </c>
      <c r="K57" s="195">
        <f t="shared" si="70"/>
        <v>503.31820114096428</v>
      </c>
      <c r="L57" s="199">
        <v>5470062210</v>
      </c>
      <c r="M57" s="195">
        <f t="shared" si="71"/>
        <v>441.47578303275674</v>
      </c>
      <c r="N57" s="199">
        <v>4797958810</v>
      </c>
      <c r="O57" s="200">
        <f t="shared" si="72"/>
        <v>10268021020</v>
      </c>
      <c r="P57" s="140">
        <f t="shared" si="73"/>
        <v>5018405697.2477064</v>
      </c>
      <c r="Q57" s="141">
        <f t="shared" si="57"/>
        <v>5319510039.0825691</v>
      </c>
      <c r="R57" s="141">
        <f t="shared" si="41"/>
        <v>150552170.91743088</v>
      </c>
      <c r="S57" s="141">
        <f t="shared" si="42"/>
        <v>4401797073.394495</v>
      </c>
      <c r="T57" s="141">
        <f t="shared" si="58"/>
        <v>4665904897.7981644</v>
      </c>
      <c r="U57" s="141">
        <f t="shared" si="59"/>
        <v>132053912.20183563</v>
      </c>
      <c r="V57" s="142">
        <f t="shared" si="67"/>
        <v>282606083.11926651</v>
      </c>
    </row>
    <row r="58" spans="2:22" x14ac:dyDescent="0.2">
      <c r="B58" s="191" t="s">
        <v>235</v>
      </c>
      <c r="C58" s="192">
        <v>164</v>
      </c>
      <c r="D58" s="193">
        <v>9971000</v>
      </c>
      <c r="E58" s="194">
        <v>0.09</v>
      </c>
      <c r="F58" s="193">
        <f t="shared" si="0"/>
        <v>10868000</v>
      </c>
      <c r="G58" s="194">
        <v>0.02</v>
      </c>
      <c r="H58" s="193">
        <f t="shared" si="68"/>
        <v>11085360</v>
      </c>
      <c r="I58" s="194">
        <v>2.5000000000000001E-2</v>
      </c>
      <c r="J58" s="193">
        <f t="shared" si="69"/>
        <v>11139700</v>
      </c>
      <c r="K58" s="195">
        <f t="shared" si="70"/>
        <v>1167.5661897313214</v>
      </c>
      <c r="L58" s="199">
        <v>12689109350</v>
      </c>
      <c r="M58" s="195">
        <f t="shared" si="71"/>
        <v>1085.1284679793891</v>
      </c>
      <c r="N58" s="199">
        <v>11793176190</v>
      </c>
      <c r="O58" s="200">
        <f t="shared" si="72"/>
        <v>24482285540</v>
      </c>
      <c r="P58" s="140">
        <f t="shared" si="73"/>
        <v>11641384724.770641</v>
      </c>
      <c r="Q58" s="141">
        <f t="shared" si="57"/>
        <v>12339867808.25688</v>
      </c>
      <c r="R58" s="141">
        <f t="shared" si="41"/>
        <v>349241541.74312019</v>
      </c>
      <c r="S58" s="141">
        <f t="shared" si="42"/>
        <v>10819427697.247705</v>
      </c>
      <c r="T58" s="141">
        <f t="shared" si="58"/>
        <v>11468593359.082567</v>
      </c>
      <c r="U58" s="141">
        <f t="shared" si="59"/>
        <v>324582830.91743279</v>
      </c>
      <c r="V58" s="142">
        <f t="shared" si="67"/>
        <v>673824372.66055298</v>
      </c>
    </row>
    <row r="59" spans="2:22" x14ac:dyDescent="0.2">
      <c r="B59" s="191" t="s">
        <v>236</v>
      </c>
      <c r="C59" s="192">
        <v>165</v>
      </c>
      <c r="D59" s="193">
        <v>9971000</v>
      </c>
      <c r="E59" s="194">
        <v>0.09</v>
      </c>
      <c r="F59" s="193">
        <f t="shared" si="0"/>
        <v>10868000</v>
      </c>
      <c r="G59" s="194">
        <v>0.02</v>
      </c>
      <c r="H59" s="193">
        <f t="shared" si="68"/>
        <v>11085360</v>
      </c>
      <c r="I59" s="194">
        <v>2.5000000000000001E-2</v>
      </c>
      <c r="J59" s="193">
        <f t="shared" si="69"/>
        <v>11139700</v>
      </c>
      <c r="K59" s="195">
        <f t="shared" si="70"/>
        <v>312.10891516378359</v>
      </c>
      <c r="L59" s="199">
        <v>3391999690</v>
      </c>
      <c r="M59" s="195">
        <f t="shared" si="71"/>
        <v>313.1548242546927</v>
      </c>
      <c r="N59" s="199">
        <v>3403366630</v>
      </c>
      <c r="O59" s="200">
        <f t="shared" si="72"/>
        <v>6795366320</v>
      </c>
      <c r="P59" s="140">
        <f t="shared" si="73"/>
        <v>3111926321.1009173</v>
      </c>
      <c r="Q59" s="141">
        <f t="shared" si="57"/>
        <v>3298641900.3669724</v>
      </c>
      <c r="R59" s="141">
        <f t="shared" si="41"/>
        <v>93357789.633027554</v>
      </c>
      <c r="S59" s="141">
        <f t="shared" si="42"/>
        <v>3122354706.4220181</v>
      </c>
      <c r="T59" s="141">
        <f t="shared" si="58"/>
        <v>3309695988.8073392</v>
      </c>
      <c r="U59" s="141">
        <f t="shared" si="59"/>
        <v>93670641.192660809</v>
      </c>
      <c r="V59" s="142">
        <f>R59+U59</f>
        <v>187028430.82568836</v>
      </c>
    </row>
    <row r="60" spans="2:22" x14ac:dyDescent="0.2">
      <c r="B60" s="196" t="s">
        <v>533</v>
      </c>
      <c r="C60" s="197"/>
      <c r="D60" s="193"/>
      <c r="E60" s="194"/>
      <c r="F60" s="193"/>
      <c r="G60" s="194"/>
      <c r="H60" s="193"/>
      <c r="I60" s="194"/>
      <c r="J60" s="193"/>
      <c r="K60" s="195"/>
      <c r="L60" s="141"/>
      <c r="M60" s="195"/>
      <c r="N60" s="141"/>
      <c r="O60" s="201"/>
      <c r="P60" s="140"/>
      <c r="Q60" s="141"/>
      <c r="R60" s="141"/>
      <c r="S60" s="141"/>
      <c r="T60" s="141"/>
      <c r="U60" s="141"/>
      <c r="V60" s="142"/>
    </row>
    <row r="61" spans="2:22" x14ac:dyDescent="0.2">
      <c r="B61" s="191" t="s">
        <v>237</v>
      </c>
      <c r="C61" s="192">
        <v>300</v>
      </c>
      <c r="D61" s="193">
        <v>17545000</v>
      </c>
      <c r="E61" s="194">
        <v>0.09</v>
      </c>
      <c r="F61" s="193">
        <f t="shared" si="0"/>
        <v>19124000</v>
      </c>
      <c r="G61" s="194">
        <v>0.02</v>
      </c>
      <c r="H61" s="193">
        <f>+(F61*G61)+F61</f>
        <v>19506480</v>
      </c>
      <c r="I61" s="194"/>
      <c r="J61" s="193"/>
      <c r="K61" s="195">
        <f t="shared" ref="K61" si="74">+L61/F61</f>
        <v>924.59848567245342</v>
      </c>
      <c r="L61" s="199">
        <v>17682021440</v>
      </c>
      <c r="M61" s="195">
        <f t="shared" ref="M61" si="75">+N61/F61</f>
        <v>913.1984558669734</v>
      </c>
      <c r="N61" s="199">
        <v>17464007270</v>
      </c>
      <c r="O61" s="200">
        <f t="shared" ref="O61" si="76">L61+N61</f>
        <v>35146028710</v>
      </c>
      <c r="P61" s="140">
        <f t="shared" si="73"/>
        <v>16222038018.348623</v>
      </c>
      <c r="Q61" s="141">
        <f t="shared" si="57"/>
        <v>17195360299.449539</v>
      </c>
      <c r="R61" s="141">
        <f t="shared" si="41"/>
        <v>486661140.55046082</v>
      </c>
      <c r="S61" s="141">
        <f t="shared" si="42"/>
        <v>16022025018.348623</v>
      </c>
      <c r="T61" s="141">
        <f t="shared" si="58"/>
        <v>16983346519.449541</v>
      </c>
      <c r="U61" s="141">
        <f t="shared" si="59"/>
        <v>480660750.55045891</v>
      </c>
      <c r="V61" s="142">
        <f t="shared" ref="V61:V77" si="77">R61+U61</f>
        <v>967321891.10091972</v>
      </c>
    </row>
    <row r="62" spans="2:22" x14ac:dyDescent="0.2">
      <c r="B62" s="196" t="s">
        <v>534</v>
      </c>
      <c r="C62" s="197"/>
      <c r="D62" s="193"/>
      <c r="E62" s="194"/>
      <c r="F62" s="193"/>
      <c r="G62" s="194"/>
      <c r="H62" s="193"/>
      <c r="I62" s="194"/>
      <c r="J62" s="193"/>
      <c r="K62" s="195"/>
      <c r="L62" s="141"/>
      <c r="M62" s="195"/>
      <c r="N62" s="141"/>
      <c r="O62" s="201"/>
      <c r="P62" s="140"/>
      <c r="Q62" s="141"/>
      <c r="R62" s="141"/>
      <c r="S62" s="141"/>
      <c r="T62" s="141"/>
      <c r="U62" s="141"/>
      <c r="V62" s="142"/>
    </row>
    <row r="63" spans="2:22" x14ac:dyDescent="0.2">
      <c r="B63" s="191" t="s">
        <v>238</v>
      </c>
      <c r="C63" s="192">
        <v>164</v>
      </c>
      <c r="D63" s="193">
        <v>8916000</v>
      </c>
      <c r="E63" s="194">
        <v>0.09</v>
      </c>
      <c r="F63" s="193">
        <f t="shared" si="0"/>
        <v>9718000</v>
      </c>
      <c r="G63" s="194">
        <v>0.02</v>
      </c>
      <c r="H63" s="193">
        <f>+(F63*G63)+F63</f>
        <v>9912360</v>
      </c>
      <c r="I63" s="194">
        <v>2.5000000000000001E-2</v>
      </c>
      <c r="J63" s="193">
        <f>+(F63*I63)+F63</f>
        <v>9960950</v>
      </c>
      <c r="K63" s="195">
        <f t="shared" ref="K63" si="78">+L63/F63</f>
        <v>818.45235079234408</v>
      </c>
      <c r="L63" s="199">
        <v>7953719945</v>
      </c>
      <c r="M63" s="195">
        <f t="shared" ref="M63" si="79">+N63/F63</f>
        <v>828.64009508129243</v>
      </c>
      <c r="N63" s="199">
        <v>8052724444</v>
      </c>
      <c r="O63" s="200">
        <f t="shared" ref="O63" si="80">L63+N63</f>
        <v>16006444389</v>
      </c>
      <c r="P63" s="140">
        <f t="shared" si="73"/>
        <v>7296990775.2293577</v>
      </c>
      <c r="Q63" s="141">
        <f t="shared" si="57"/>
        <v>7734810221.7431192</v>
      </c>
      <c r="R63" s="141">
        <f t="shared" si="41"/>
        <v>218909723.25688076</v>
      </c>
      <c r="S63" s="141">
        <f t="shared" si="42"/>
        <v>7387820590.8256874</v>
      </c>
      <c r="T63" s="141">
        <f t="shared" si="58"/>
        <v>7831089826.2752285</v>
      </c>
      <c r="U63" s="141">
        <f t="shared" si="59"/>
        <v>221634617.7247715</v>
      </c>
      <c r="V63" s="142">
        <f t="shared" si="77"/>
        <v>440544340.98165226</v>
      </c>
    </row>
    <row r="64" spans="2:22" x14ac:dyDescent="0.2">
      <c r="B64" s="196" t="s">
        <v>535</v>
      </c>
      <c r="C64" s="197"/>
      <c r="D64" s="193"/>
      <c r="E64" s="194"/>
      <c r="F64" s="193"/>
      <c r="G64" s="194"/>
      <c r="H64" s="193"/>
      <c r="I64" s="194"/>
      <c r="J64" s="193"/>
      <c r="K64" s="195"/>
      <c r="L64" s="141"/>
      <c r="M64" s="195"/>
      <c r="N64" s="141"/>
      <c r="O64" s="201"/>
      <c r="P64" s="140"/>
      <c r="Q64" s="141"/>
      <c r="R64" s="141"/>
      <c r="S64" s="141"/>
      <c r="T64" s="141"/>
      <c r="U64" s="141"/>
      <c r="V64" s="142"/>
    </row>
    <row r="65" spans="2:22" x14ac:dyDescent="0.2">
      <c r="B65" s="191" t="s">
        <v>239</v>
      </c>
      <c r="C65" s="192">
        <v>170</v>
      </c>
      <c r="D65" s="193">
        <v>10343000</v>
      </c>
      <c r="E65" s="194">
        <v>0.09</v>
      </c>
      <c r="F65" s="193">
        <f t="shared" si="0"/>
        <v>11274000</v>
      </c>
      <c r="G65" s="194">
        <v>0.02</v>
      </c>
      <c r="H65" s="193">
        <f>+(F65*G65)+F65</f>
        <v>11499480</v>
      </c>
      <c r="I65" s="194"/>
      <c r="J65" s="193"/>
      <c r="K65" s="195">
        <f t="shared" ref="K65" si="81">+L65/F65</f>
        <v>440.19659481993966</v>
      </c>
      <c r="L65" s="199">
        <v>4962776410</v>
      </c>
      <c r="M65" s="195">
        <f t="shared" ref="M65" si="82">+N65/F65</f>
        <v>442.20260333510731</v>
      </c>
      <c r="N65" s="199">
        <v>4985392150</v>
      </c>
      <c r="O65" s="200">
        <f t="shared" ref="O65" si="83">L65+N65</f>
        <v>9948168560</v>
      </c>
      <c r="P65" s="140">
        <f t="shared" si="73"/>
        <v>4553005880.7339449</v>
      </c>
      <c r="Q65" s="141">
        <f t="shared" si="57"/>
        <v>4826186233.5779819</v>
      </c>
      <c r="R65" s="141">
        <f t="shared" si="41"/>
        <v>136590176.42201805</v>
      </c>
      <c r="S65" s="141">
        <f t="shared" si="42"/>
        <v>4573754266.0550451</v>
      </c>
      <c r="T65" s="141">
        <f t="shared" si="58"/>
        <v>4848179522.0183477</v>
      </c>
      <c r="U65" s="141">
        <f t="shared" si="59"/>
        <v>137212627.98165226</v>
      </c>
      <c r="V65" s="142">
        <f t="shared" si="77"/>
        <v>273802804.40367031</v>
      </c>
    </row>
    <row r="66" spans="2:22" x14ac:dyDescent="0.2">
      <c r="B66" s="196" t="s">
        <v>240</v>
      </c>
      <c r="C66" s="197"/>
      <c r="D66" s="193"/>
      <c r="E66" s="194"/>
      <c r="F66" s="193"/>
      <c r="G66" s="194"/>
      <c r="H66" s="193"/>
      <c r="I66" s="194"/>
      <c r="J66" s="193"/>
      <c r="K66" s="195"/>
      <c r="L66" s="141"/>
      <c r="M66" s="195"/>
      <c r="N66" s="141"/>
      <c r="O66" s="201"/>
      <c r="P66" s="140"/>
      <c r="Q66" s="141"/>
      <c r="R66" s="141"/>
      <c r="S66" s="141"/>
      <c r="T66" s="141"/>
      <c r="U66" s="141"/>
      <c r="V66" s="142"/>
    </row>
    <row r="67" spans="2:22" x14ac:dyDescent="0.2">
      <c r="B67" s="191" t="s">
        <v>536</v>
      </c>
      <c r="C67" s="192">
        <v>165</v>
      </c>
      <c r="D67" s="193">
        <v>8939000</v>
      </c>
      <c r="E67" s="194">
        <v>0.09</v>
      </c>
      <c r="F67" s="193">
        <f t="shared" si="0"/>
        <v>9744000</v>
      </c>
      <c r="G67" s="194">
        <v>0.02</v>
      </c>
      <c r="H67" s="193">
        <f>+(F67*G67)+F67</f>
        <v>9938880</v>
      </c>
      <c r="I67" s="194">
        <v>2.5000000000000001E-2</v>
      </c>
      <c r="J67" s="193">
        <f t="shared" ref="J67:J68" si="84">+(F67*I67)+F67</f>
        <v>9987600</v>
      </c>
      <c r="K67" s="195">
        <f t="shared" ref="K67:K68" si="85">+L67/F67</f>
        <v>492.03948676108377</v>
      </c>
      <c r="L67" s="199">
        <v>4794432759</v>
      </c>
      <c r="M67" s="195">
        <f t="shared" ref="M67:M68" si="86">+N67/F67</f>
        <v>487.38913464696225</v>
      </c>
      <c r="N67" s="199">
        <v>4749119728</v>
      </c>
      <c r="O67" s="200">
        <f t="shared" ref="O67:O68" si="87">L67+N67</f>
        <v>9543552487</v>
      </c>
      <c r="P67" s="140">
        <f t="shared" si="73"/>
        <v>4398562164.2201834</v>
      </c>
      <c r="Q67" s="141">
        <f t="shared" si="57"/>
        <v>4662475894.0733948</v>
      </c>
      <c r="R67" s="141">
        <f t="shared" si="41"/>
        <v>131956864.92660522</v>
      </c>
      <c r="S67" s="141">
        <f t="shared" si="42"/>
        <v>4356990576.1467886</v>
      </c>
      <c r="T67" s="141">
        <f t="shared" si="58"/>
        <v>4618410010.7155962</v>
      </c>
      <c r="U67" s="141">
        <f t="shared" si="59"/>
        <v>130709717.2844038</v>
      </c>
      <c r="V67" s="142">
        <f t="shared" si="77"/>
        <v>262666582.21100903</v>
      </c>
    </row>
    <row r="68" spans="2:22" x14ac:dyDescent="0.2">
      <c r="B68" s="191" t="s">
        <v>241</v>
      </c>
      <c r="C68" s="192">
        <v>169</v>
      </c>
      <c r="D68" s="193">
        <v>8939000</v>
      </c>
      <c r="E68" s="194">
        <v>0.09</v>
      </c>
      <c r="F68" s="193">
        <f t="shared" si="0"/>
        <v>9744000</v>
      </c>
      <c r="G68" s="194">
        <v>0.02</v>
      </c>
      <c r="H68" s="193">
        <f t="shared" ref="H68" si="88">+(F68*G68)+F68</f>
        <v>9938880</v>
      </c>
      <c r="I68" s="194">
        <v>2.5000000000000001E-2</v>
      </c>
      <c r="J68" s="193">
        <f t="shared" si="84"/>
        <v>9987600</v>
      </c>
      <c r="K68" s="195">
        <f t="shared" si="85"/>
        <v>435.09084688013138</v>
      </c>
      <c r="L68" s="199">
        <v>4239525212</v>
      </c>
      <c r="M68" s="195">
        <f t="shared" si="86"/>
        <v>423.03301313628901</v>
      </c>
      <c r="N68" s="199">
        <v>4122033680</v>
      </c>
      <c r="O68" s="200">
        <f t="shared" si="87"/>
        <v>8361558892</v>
      </c>
      <c r="P68" s="140">
        <f t="shared" si="73"/>
        <v>3889472671.5596328</v>
      </c>
      <c r="Q68" s="141">
        <f t="shared" si="57"/>
        <v>4122841031.8532109</v>
      </c>
      <c r="R68" s="141">
        <f t="shared" si="41"/>
        <v>116684180.14678907</v>
      </c>
      <c r="S68" s="141">
        <f t="shared" si="42"/>
        <v>3781682275.2293577</v>
      </c>
      <c r="T68" s="141">
        <f t="shared" si="58"/>
        <v>4008583211.7431192</v>
      </c>
      <c r="U68" s="141">
        <f t="shared" si="59"/>
        <v>113450468.25688076</v>
      </c>
      <c r="V68" s="142">
        <f t="shared" si="77"/>
        <v>230134648.40366983</v>
      </c>
    </row>
    <row r="69" spans="2:22" x14ac:dyDescent="0.2">
      <c r="B69" s="196" t="s">
        <v>537</v>
      </c>
      <c r="C69" s="197"/>
      <c r="D69" s="193"/>
      <c r="E69" s="194"/>
      <c r="F69" s="193"/>
      <c r="G69" s="194"/>
      <c r="H69" s="193"/>
      <c r="I69" s="194"/>
      <c r="J69" s="193"/>
      <c r="K69" s="195"/>
      <c r="L69" s="141"/>
      <c r="M69" s="195"/>
      <c r="N69" s="141"/>
      <c r="O69" s="201"/>
      <c r="P69" s="140"/>
      <c r="Q69" s="141"/>
      <c r="R69" s="141"/>
      <c r="S69" s="141"/>
      <c r="T69" s="141"/>
      <c r="U69" s="141"/>
      <c r="V69" s="142"/>
    </row>
    <row r="70" spans="2:22" x14ac:dyDescent="0.2">
      <c r="B70" s="191" t="s">
        <v>242</v>
      </c>
      <c r="C70" s="192">
        <v>170</v>
      </c>
      <c r="D70" s="193">
        <v>7799000</v>
      </c>
      <c r="E70" s="194">
        <v>0.09</v>
      </c>
      <c r="F70" s="193">
        <f t="shared" si="0"/>
        <v>8501000</v>
      </c>
      <c r="G70" s="194">
        <v>0.02</v>
      </c>
      <c r="H70" s="193">
        <f>+(F70*G70)+F70</f>
        <v>8671020</v>
      </c>
      <c r="I70" s="194">
        <v>2.5000000000000001E-2</v>
      </c>
      <c r="J70" s="193">
        <f t="shared" ref="J70" si="89">+(F70*I70)+F70</f>
        <v>8713525</v>
      </c>
      <c r="K70" s="195">
        <f t="shared" ref="K70" si="90">+L70/F70</f>
        <v>226.17523467827314</v>
      </c>
      <c r="L70" s="199">
        <v>1922715670</v>
      </c>
      <c r="M70" s="195">
        <f t="shared" ref="M70" si="91">+N70/F70</f>
        <v>216.17534054817079</v>
      </c>
      <c r="N70" s="199">
        <v>1837706570</v>
      </c>
      <c r="O70" s="200">
        <f t="shared" ref="O70" si="92">L70+N70</f>
        <v>3760422240</v>
      </c>
      <c r="P70" s="140">
        <f t="shared" si="73"/>
        <v>1763959330.2752292</v>
      </c>
      <c r="Q70" s="141">
        <f t="shared" si="57"/>
        <v>1869796890.091743</v>
      </c>
      <c r="R70" s="141">
        <f t="shared" si="41"/>
        <v>52918779.908257008</v>
      </c>
      <c r="S70" s="141">
        <f t="shared" si="42"/>
        <v>1685969330.2752292</v>
      </c>
      <c r="T70" s="141">
        <f t="shared" si="58"/>
        <v>1787127490.091743</v>
      </c>
      <c r="U70" s="141">
        <f t="shared" si="59"/>
        <v>50579079.908257008</v>
      </c>
      <c r="V70" s="142">
        <f t="shared" si="77"/>
        <v>103497859.81651402</v>
      </c>
    </row>
    <row r="71" spans="2:22" x14ac:dyDescent="0.2">
      <c r="B71" s="196" t="s">
        <v>538</v>
      </c>
      <c r="C71" s="197"/>
      <c r="D71" s="193"/>
      <c r="E71" s="194"/>
      <c r="F71" s="193"/>
      <c r="G71" s="194"/>
      <c r="H71" s="193"/>
      <c r="I71" s="194"/>
      <c r="J71" s="193"/>
      <c r="K71" s="195"/>
      <c r="L71" s="141"/>
      <c r="M71" s="195"/>
      <c r="N71" s="141"/>
      <c r="O71" s="201"/>
      <c r="P71" s="140"/>
      <c r="Q71" s="141"/>
      <c r="R71" s="141"/>
      <c r="S71" s="141"/>
      <c r="T71" s="141"/>
      <c r="U71" s="141"/>
      <c r="V71" s="142"/>
    </row>
    <row r="72" spans="2:22" x14ac:dyDescent="0.2">
      <c r="B72" s="191" t="s">
        <v>243</v>
      </c>
      <c r="C72" s="192">
        <v>171</v>
      </c>
      <c r="D72" s="193">
        <v>4931000</v>
      </c>
      <c r="E72" s="194">
        <v>0.09</v>
      </c>
      <c r="F72" s="193">
        <f t="shared" si="0"/>
        <v>5375000</v>
      </c>
      <c r="G72" s="194">
        <v>0.02</v>
      </c>
      <c r="H72" s="193">
        <f t="shared" ref="H72:H75" si="93">+(F72*G72)+F72</f>
        <v>5482500</v>
      </c>
      <c r="I72" s="194">
        <v>2.5000000000000001E-2</v>
      </c>
      <c r="J72" s="193">
        <f t="shared" ref="J72:J75" si="94">+(F72*I72)+F72</f>
        <v>5509375</v>
      </c>
      <c r="K72" s="195">
        <f t="shared" ref="K72:K75" si="95">+L72/F72</f>
        <v>64.69742139534884</v>
      </c>
      <c r="L72" s="199">
        <v>347748640</v>
      </c>
      <c r="M72" s="195">
        <f t="shared" ref="M72:M75" si="96">+N72/F72</f>
        <v>74.697030697674421</v>
      </c>
      <c r="N72" s="199">
        <v>401496540</v>
      </c>
      <c r="O72" s="200">
        <f t="shared" ref="O72:O75" si="97">L72+N72</f>
        <v>749245180</v>
      </c>
      <c r="P72" s="140">
        <f t="shared" si="73"/>
        <v>319035449.54128438</v>
      </c>
      <c r="Q72" s="141">
        <f t="shared" si="57"/>
        <v>338177576.51376146</v>
      </c>
      <c r="R72" s="141">
        <f t="shared" si="41"/>
        <v>9571063.4862385392</v>
      </c>
      <c r="S72" s="141">
        <f t="shared" si="42"/>
        <v>368345449.54128438</v>
      </c>
      <c r="T72" s="141">
        <f t="shared" si="58"/>
        <v>390446176.51376146</v>
      </c>
      <c r="U72" s="141">
        <f t="shared" si="59"/>
        <v>11050363.486238539</v>
      </c>
      <c r="V72" s="142">
        <f t="shared" si="77"/>
        <v>20621426.972477078</v>
      </c>
    </row>
    <row r="73" spans="2:22" x14ac:dyDescent="0.2">
      <c r="B73" s="191" t="s">
        <v>244</v>
      </c>
      <c r="C73" s="192">
        <v>173</v>
      </c>
      <c r="D73" s="193">
        <v>4931000</v>
      </c>
      <c r="E73" s="194">
        <v>0.09</v>
      </c>
      <c r="F73" s="193">
        <f t="shared" si="0"/>
        <v>5375000</v>
      </c>
      <c r="G73" s="194">
        <v>0.02</v>
      </c>
      <c r="H73" s="193">
        <f t="shared" si="93"/>
        <v>5482500</v>
      </c>
      <c r="I73" s="194">
        <v>2.5000000000000001E-2</v>
      </c>
      <c r="J73" s="193">
        <f t="shared" si="94"/>
        <v>5509375</v>
      </c>
      <c r="K73" s="195">
        <f t="shared" si="95"/>
        <v>57.197484651162789</v>
      </c>
      <c r="L73" s="199">
        <v>307436480</v>
      </c>
      <c r="M73" s="195">
        <f t="shared" si="96"/>
        <v>54.197601860465113</v>
      </c>
      <c r="N73" s="199">
        <v>291312110</v>
      </c>
      <c r="O73" s="200">
        <f t="shared" si="97"/>
        <v>598748590</v>
      </c>
      <c r="P73" s="140">
        <f t="shared" si="73"/>
        <v>282051816.51376146</v>
      </c>
      <c r="Q73" s="141">
        <f t="shared" si="57"/>
        <v>298974925.50458717</v>
      </c>
      <c r="R73" s="141">
        <f t="shared" si="41"/>
        <v>8461554.4954128265</v>
      </c>
      <c r="S73" s="141">
        <f t="shared" si="42"/>
        <v>267258816.51376146</v>
      </c>
      <c r="T73" s="141">
        <f t="shared" si="58"/>
        <v>283294345.50458717</v>
      </c>
      <c r="U73" s="141">
        <f t="shared" si="59"/>
        <v>8017764.4954128265</v>
      </c>
      <c r="V73" s="142">
        <f t="shared" si="77"/>
        <v>16479318.990825653</v>
      </c>
    </row>
    <row r="74" spans="2:22" x14ac:dyDescent="0.2">
      <c r="B74" s="191" t="s">
        <v>245</v>
      </c>
      <c r="C74" s="192">
        <v>160</v>
      </c>
      <c r="D74" s="193">
        <v>2184000</v>
      </c>
      <c r="E74" s="194">
        <v>0.09</v>
      </c>
      <c r="F74" s="193">
        <f t="shared" si="0"/>
        <v>2381000</v>
      </c>
      <c r="G74" s="194">
        <v>0.02</v>
      </c>
      <c r="H74" s="193">
        <f t="shared" si="93"/>
        <v>2428620</v>
      </c>
      <c r="I74" s="194">
        <v>2.5000000000000001E-2</v>
      </c>
      <c r="J74" s="193">
        <f t="shared" si="94"/>
        <v>2440525</v>
      </c>
      <c r="K74" s="195">
        <f t="shared" si="95"/>
        <v>87.729580008399836</v>
      </c>
      <c r="L74" s="199">
        <v>208884130</v>
      </c>
      <c r="M74" s="195">
        <f t="shared" si="96"/>
        <v>82.230873582528346</v>
      </c>
      <c r="N74" s="199">
        <v>195791710</v>
      </c>
      <c r="O74" s="200">
        <f t="shared" si="97"/>
        <v>404675840</v>
      </c>
      <c r="P74" s="140">
        <f t="shared" si="73"/>
        <v>191636816.51376146</v>
      </c>
      <c r="Q74" s="141">
        <f t="shared" si="57"/>
        <v>203135025.50458714</v>
      </c>
      <c r="R74" s="141">
        <f t="shared" si="41"/>
        <v>5749104.4954128563</v>
      </c>
      <c r="S74" s="141">
        <f t="shared" si="42"/>
        <v>179625422.0183486</v>
      </c>
      <c r="T74" s="141">
        <f t="shared" si="58"/>
        <v>190402947.33944952</v>
      </c>
      <c r="U74" s="141">
        <f t="shared" si="59"/>
        <v>5388762.6605504751</v>
      </c>
      <c r="V74" s="142">
        <f t="shared" si="77"/>
        <v>11137867.155963331</v>
      </c>
    </row>
    <row r="75" spans="2:22" x14ac:dyDescent="0.2">
      <c r="B75" s="191" t="s">
        <v>246</v>
      </c>
      <c r="C75" s="192">
        <v>160</v>
      </c>
      <c r="D75" s="193">
        <v>2184000</v>
      </c>
      <c r="E75" s="194">
        <v>0.09</v>
      </c>
      <c r="F75" s="193">
        <f t="shared" si="0"/>
        <v>2381000</v>
      </c>
      <c r="G75" s="194">
        <v>0.02</v>
      </c>
      <c r="H75" s="193">
        <f t="shared" si="93"/>
        <v>2428620</v>
      </c>
      <c r="I75" s="194">
        <v>2.5000000000000001E-2</v>
      </c>
      <c r="J75" s="193">
        <f t="shared" si="94"/>
        <v>2440525</v>
      </c>
      <c r="K75" s="195">
        <f t="shared" si="95"/>
        <v>0</v>
      </c>
      <c r="L75" s="141"/>
      <c r="M75" s="195">
        <f t="shared" si="96"/>
        <v>0</v>
      </c>
      <c r="N75" s="141"/>
      <c r="O75" s="200">
        <f t="shared" si="97"/>
        <v>0</v>
      </c>
      <c r="P75" s="140">
        <f t="shared" si="73"/>
        <v>0</v>
      </c>
      <c r="Q75" s="141">
        <f t="shared" si="57"/>
        <v>0</v>
      </c>
      <c r="R75" s="141">
        <f t="shared" si="41"/>
        <v>0</v>
      </c>
      <c r="S75" s="141">
        <f t="shared" si="42"/>
        <v>0</v>
      </c>
      <c r="T75" s="141">
        <f t="shared" si="58"/>
        <v>0</v>
      </c>
      <c r="U75" s="141">
        <f t="shared" si="59"/>
        <v>0</v>
      </c>
      <c r="V75" s="142">
        <f t="shared" si="77"/>
        <v>0</v>
      </c>
    </row>
    <row r="76" spans="2:22" x14ac:dyDescent="0.2">
      <c r="B76" s="196" t="s">
        <v>247</v>
      </c>
      <c r="C76" s="197"/>
      <c r="D76" s="193"/>
      <c r="E76" s="194"/>
      <c r="F76" s="193"/>
      <c r="G76" s="194"/>
      <c r="H76" s="193"/>
      <c r="I76" s="194"/>
      <c r="J76" s="193"/>
      <c r="K76" s="195"/>
      <c r="L76" s="141"/>
      <c r="M76" s="195"/>
      <c r="N76" s="141"/>
      <c r="O76" s="201"/>
      <c r="P76" s="140"/>
      <c r="Q76" s="141"/>
      <c r="R76" s="141"/>
      <c r="S76" s="141"/>
      <c r="T76" s="141"/>
      <c r="U76" s="141"/>
      <c r="V76" s="142"/>
    </row>
    <row r="77" spans="2:22" x14ac:dyDescent="0.2">
      <c r="B77" s="191" t="s">
        <v>248</v>
      </c>
      <c r="C77" s="192">
        <v>175</v>
      </c>
      <c r="D77" s="193">
        <v>4425000</v>
      </c>
      <c r="E77" s="194">
        <v>0.09</v>
      </c>
      <c r="F77" s="193">
        <f t="shared" si="0"/>
        <v>4823000</v>
      </c>
      <c r="G77" s="194">
        <v>0.02</v>
      </c>
      <c r="H77" s="193">
        <f t="shared" ref="H77" si="98">+(F77*G77)+F77</f>
        <v>4919460</v>
      </c>
      <c r="I77" s="194">
        <v>2.5000000000000001E-2</v>
      </c>
      <c r="J77" s="193">
        <f t="shared" ref="J77:J78" si="99">+(F77*I77)+F77</f>
        <v>4943575</v>
      </c>
      <c r="K77" s="195">
        <f t="shared" ref="K77:K78" si="100">+L77/F77</f>
        <v>188.22962886170433</v>
      </c>
      <c r="L77" s="199">
        <v>907831500</v>
      </c>
      <c r="M77" s="195">
        <f t="shared" ref="M77:M78" si="101">+N77/F77</f>
        <v>182.30261248185778</v>
      </c>
      <c r="N77" s="199">
        <v>879245500</v>
      </c>
      <c r="O77" s="200">
        <f t="shared" ref="O77:O78" si="102">L77+N77</f>
        <v>1787077000</v>
      </c>
      <c r="P77" s="140">
        <f t="shared" si="73"/>
        <v>832872935.77981651</v>
      </c>
      <c r="Q77" s="141">
        <f t="shared" si="57"/>
        <v>882845311.92660546</v>
      </c>
      <c r="R77" s="141">
        <f>+L77-Q77</f>
        <v>24986188.073394537</v>
      </c>
      <c r="S77" s="141">
        <f t="shared" si="42"/>
        <v>806647247.70642197</v>
      </c>
      <c r="T77" s="141">
        <f t="shared" si="58"/>
        <v>855046082.56880724</v>
      </c>
      <c r="U77" s="141">
        <f t="shared" si="59"/>
        <v>24199417.431192756</v>
      </c>
      <c r="V77" s="142">
        <f t="shared" si="77"/>
        <v>49185605.504587293</v>
      </c>
    </row>
    <row r="78" spans="2:22" x14ac:dyDescent="0.2">
      <c r="B78" s="191" t="s">
        <v>249</v>
      </c>
      <c r="C78" s="192">
        <v>170</v>
      </c>
      <c r="D78" s="193">
        <v>1724000</v>
      </c>
      <c r="E78" s="194">
        <v>0.09</v>
      </c>
      <c r="F78" s="193">
        <f t="shared" si="0"/>
        <v>1879000</v>
      </c>
      <c r="G78" s="194">
        <v>0.02</v>
      </c>
      <c r="H78" s="193">
        <f>+(F78*G78)+F78</f>
        <v>1916580</v>
      </c>
      <c r="I78" s="194">
        <v>2.5000000000000001E-2</v>
      </c>
      <c r="J78" s="193">
        <f t="shared" si="99"/>
        <v>1925975</v>
      </c>
      <c r="K78" s="195">
        <f t="shared" si="100"/>
        <v>113.73509207025015</v>
      </c>
      <c r="L78" s="199">
        <v>213708238.00000003</v>
      </c>
      <c r="M78" s="195">
        <f t="shared" si="101"/>
        <v>92.692450239489105</v>
      </c>
      <c r="N78" s="199">
        <v>174169114.00000003</v>
      </c>
      <c r="O78" s="200">
        <f t="shared" si="102"/>
        <v>387877352.00000006</v>
      </c>
      <c r="P78" s="140">
        <f>+L78/(1+E78)</f>
        <v>196062603.66972479</v>
      </c>
      <c r="Q78" s="141">
        <f>(P78*$Q$11)+P78</f>
        <v>207826359.88990828</v>
      </c>
      <c r="R78" s="141">
        <f>+L78-Q78</f>
        <v>5881878.1100917459</v>
      </c>
      <c r="S78" s="141">
        <f>N78/(1+E78)</f>
        <v>159788177.9816514</v>
      </c>
      <c r="T78" s="141">
        <f>(S78*$T$11)+S78</f>
        <v>169375468.66055048</v>
      </c>
      <c r="U78" s="141">
        <f t="shared" si="59"/>
        <v>4793645.3394495547</v>
      </c>
      <c r="V78" s="142">
        <f>R78+U78</f>
        <v>10675523.449541301</v>
      </c>
    </row>
    <row r="79" spans="2:22" ht="12" thickBot="1" x14ac:dyDescent="0.25">
      <c r="B79" s="202" t="s">
        <v>540</v>
      </c>
      <c r="C79" s="203"/>
      <c r="D79" s="204">
        <f>SUM(D14:D78)</f>
        <v>364875000</v>
      </c>
      <c r="E79" s="203"/>
      <c r="F79" s="204">
        <f>SUM(F14:F78)</f>
        <v>397714000</v>
      </c>
      <c r="G79" s="205"/>
      <c r="H79" s="206"/>
      <c r="I79" s="205"/>
      <c r="J79" s="206"/>
      <c r="K79" s="207">
        <f t="shared" ref="K79:Q79" si="103">SUM(K14:K78)</f>
        <v>17651.135220094973</v>
      </c>
      <c r="L79" s="208">
        <f>SUM(L14:L78)</f>
        <v>178042838578.26001</v>
      </c>
      <c r="M79" s="207">
        <f t="shared" si="103"/>
        <v>17333.176276542727</v>
      </c>
      <c r="N79" s="208">
        <f t="shared" si="103"/>
        <v>175169360476.67999</v>
      </c>
      <c r="O79" s="208">
        <f t="shared" si="103"/>
        <v>353212199054.94</v>
      </c>
      <c r="P79" s="208">
        <f t="shared" si="103"/>
        <v>163342053741.52298</v>
      </c>
      <c r="Q79" s="208">
        <f t="shared" si="103"/>
        <v>173142576966.01431</v>
      </c>
      <c r="R79" s="208">
        <f>SUM(R14:R78)</f>
        <v>4900261612.245697</v>
      </c>
      <c r="S79" s="208">
        <f>SUM(S14:S78)</f>
        <v>160705835299.70645</v>
      </c>
      <c r="T79" s="208">
        <f>SUM(T14:T78)</f>
        <v>170348185417.68881</v>
      </c>
      <c r="U79" s="208">
        <f>SUM(U14:U78)</f>
        <v>4821175058.9912071</v>
      </c>
      <c r="V79" s="208">
        <f>SUM(V14:V78)</f>
        <v>9721436671.236908</v>
      </c>
    </row>
    <row r="80" spans="2:22" ht="12" thickBot="1" x14ac:dyDescent="0.25">
      <c r="B80" s="209" t="s">
        <v>541</v>
      </c>
      <c r="C80" s="143"/>
      <c r="D80" s="144"/>
      <c r="E80" s="145"/>
      <c r="F80" s="146">
        <f>SUMPRODUCT(E13:E78,F13:F78)/F79</f>
        <v>0.09</v>
      </c>
      <c r="G80" s="147"/>
      <c r="H80" s="148"/>
      <c r="I80" s="149"/>
      <c r="J80" s="149"/>
      <c r="K80" s="149"/>
      <c r="L80" s="149"/>
      <c r="M80" s="149"/>
      <c r="N80" s="149"/>
      <c r="O80" s="150">
        <f>SUMPRODUCT(O14:O78,E14:E78)/O79</f>
        <v>8.9999999999999969E-2</v>
      </c>
      <c r="P80" s="149"/>
      <c r="Q80" s="149"/>
      <c r="R80" s="149"/>
      <c r="S80" s="149"/>
      <c r="T80" s="149"/>
      <c r="U80" s="149"/>
      <c r="V80" s="151"/>
    </row>
    <row r="81" spans="2:22" ht="12" thickBot="1" x14ac:dyDescent="0.25">
      <c r="B81" s="250" t="s">
        <v>542</v>
      </c>
      <c r="C81" s="251"/>
      <c r="D81" s="251"/>
      <c r="E81" s="251"/>
      <c r="F81" s="251"/>
      <c r="G81" s="251"/>
      <c r="H81" s="251"/>
      <c r="I81" s="251"/>
      <c r="J81" s="251"/>
      <c r="K81" s="251"/>
      <c r="L81" s="251"/>
      <c r="M81" s="251"/>
      <c r="N81" s="251"/>
      <c r="O81" s="251"/>
      <c r="P81" s="251"/>
      <c r="Q81" s="251"/>
      <c r="R81" s="251"/>
      <c r="S81" s="251"/>
      <c r="T81" s="251"/>
      <c r="U81" s="251"/>
      <c r="V81" s="252"/>
    </row>
    <row r="82" spans="2:22" x14ac:dyDescent="0.2">
      <c r="B82" s="210" t="s">
        <v>523</v>
      </c>
      <c r="C82" s="138"/>
      <c r="D82" s="211"/>
      <c r="E82" s="212"/>
      <c r="F82" s="212"/>
      <c r="G82" s="138"/>
      <c r="H82" s="213"/>
      <c r="I82" s="138"/>
      <c r="J82" s="213"/>
      <c r="K82" s="213"/>
      <c r="L82" s="213"/>
      <c r="M82" s="213"/>
      <c r="N82" s="213"/>
      <c r="O82" s="213"/>
      <c r="P82" s="138"/>
      <c r="Q82" s="138"/>
      <c r="R82" s="138"/>
      <c r="S82" s="138"/>
      <c r="T82" s="138"/>
      <c r="U82" s="138"/>
      <c r="V82" s="139"/>
    </row>
    <row r="83" spans="2:22" x14ac:dyDescent="0.2">
      <c r="B83" s="214" t="s">
        <v>255</v>
      </c>
      <c r="C83" s="152">
        <v>24</v>
      </c>
      <c r="D83" s="215">
        <v>8038000</v>
      </c>
      <c r="E83" s="216">
        <v>0</v>
      </c>
      <c r="F83" s="215">
        <f>+ROUND((D83*E83)+D83,-3)</f>
        <v>8038000</v>
      </c>
      <c r="G83" s="216">
        <v>0.02</v>
      </c>
      <c r="H83" s="193">
        <f>+(F83*G83)+F83</f>
        <v>8198760</v>
      </c>
      <c r="I83" s="216">
        <v>2.5000000000000001E-2</v>
      </c>
      <c r="J83" s="193">
        <f>+(F83*I83)+F83</f>
        <v>8238950</v>
      </c>
      <c r="K83" s="195">
        <f>+L83/F83</f>
        <v>17.964500124409057</v>
      </c>
      <c r="L83" s="199">
        <v>144398652</v>
      </c>
      <c r="M83" s="195">
        <f>+N83/F83</f>
        <v>17.964500124409057</v>
      </c>
      <c r="N83" s="199">
        <v>144398652</v>
      </c>
      <c r="O83" s="199">
        <f>L83+N83</f>
        <v>288797304</v>
      </c>
      <c r="P83" s="141">
        <f>L83/(1+E83)</f>
        <v>144398652</v>
      </c>
      <c r="Q83" s="141">
        <f>(P83*$Q$11)+P83</f>
        <v>153062571.12</v>
      </c>
      <c r="R83" s="141">
        <f>L83-Q83</f>
        <v>-8663919.1200000048</v>
      </c>
      <c r="S83" s="141">
        <f>N83/(1+E83)</f>
        <v>144398652</v>
      </c>
      <c r="T83" s="141">
        <f>(S83*$T$11)+S83</f>
        <v>153062571.12</v>
      </c>
      <c r="U83" s="141">
        <f>N83-T83</f>
        <v>-8663919.1200000048</v>
      </c>
      <c r="V83" s="142">
        <f>R83+U83</f>
        <v>-17327838.24000001</v>
      </c>
    </row>
    <row r="84" spans="2:22" x14ac:dyDescent="0.2">
      <c r="B84" s="214" t="s">
        <v>466</v>
      </c>
      <c r="C84" s="152">
        <v>48</v>
      </c>
      <c r="D84" s="215">
        <v>10500000</v>
      </c>
      <c r="E84" s="216">
        <v>0</v>
      </c>
      <c r="F84" s="215">
        <f>+ROUND((D84*E84)+D84,-3)</f>
        <v>10500000</v>
      </c>
      <c r="G84" s="216">
        <v>0.02</v>
      </c>
      <c r="H84" s="193">
        <f>+(F84*G84)+F84</f>
        <v>10710000</v>
      </c>
      <c r="I84" s="216">
        <v>2.5000000000000001E-2</v>
      </c>
      <c r="J84" s="193">
        <f>+(F84*I84)+F84</f>
        <v>10762500</v>
      </c>
      <c r="K84" s="195">
        <f t="shared" ref="K84:K86" si="104">+L84/F84</f>
        <v>8.1</v>
      </c>
      <c r="L84" s="199">
        <v>85050000</v>
      </c>
      <c r="M84" s="195">
        <f>+N84/F84</f>
        <v>18.899999999999999</v>
      </c>
      <c r="N84" s="199">
        <v>198450000</v>
      </c>
      <c r="O84" s="199">
        <f t="shared" ref="O84:O86" si="105">L84+N84</f>
        <v>283500000</v>
      </c>
      <c r="P84" s="141">
        <f t="shared" ref="P84:P106" si="106">L84/(1+E84)</f>
        <v>85050000</v>
      </c>
      <c r="Q84" s="141">
        <f t="shared" ref="Q84:Q106" si="107">(P84*$Q$11)+P84</f>
        <v>90153000</v>
      </c>
      <c r="R84" s="141">
        <f t="shared" ref="R84:R106" si="108">L84-Q84</f>
        <v>-5103000</v>
      </c>
      <c r="S84" s="141">
        <f t="shared" ref="S84:S106" si="109">N84/(1+E84)</f>
        <v>198450000</v>
      </c>
      <c r="T84" s="141">
        <f t="shared" ref="T84:T106" si="110">(S84*$T$11)+S84</f>
        <v>210357000</v>
      </c>
      <c r="U84" s="141">
        <f t="shared" ref="U84:U106" si="111">N84-T84</f>
        <v>-11907000</v>
      </c>
      <c r="V84" s="142">
        <f t="shared" ref="V84:V106" si="112">R84+U84</f>
        <v>-17010000</v>
      </c>
    </row>
    <row r="85" spans="2:22" x14ac:dyDescent="0.2">
      <c r="B85" s="214" t="s">
        <v>253</v>
      </c>
      <c r="C85" s="152">
        <v>46</v>
      </c>
      <c r="D85" s="215">
        <v>9460000</v>
      </c>
      <c r="E85" s="216">
        <v>0.09</v>
      </c>
      <c r="F85" s="215">
        <f>+ROUND((D85*E85)+D85,-3)</f>
        <v>10311000</v>
      </c>
      <c r="G85" s="216">
        <v>0.02</v>
      </c>
      <c r="H85" s="193">
        <f>+(F85*G85)+F85</f>
        <v>10517220</v>
      </c>
      <c r="I85" s="216">
        <v>2.5000000000000001E-2</v>
      </c>
      <c r="J85" s="193">
        <f>+(F85*I85)+F85</f>
        <v>10568775</v>
      </c>
      <c r="K85" s="195">
        <f t="shared" si="104"/>
        <v>0</v>
      </c>
      <c r="L85" s="141"/>
      <c r="M85" s="195">
        <f>+N85/F85</f>
        <v>0</v>
      </c>
      <c r="N85" s="141"/>
      <c r="O85" s="141">
        <f t="shared" si="105"/>
        <v>0</v>
      </c>
      <c r="P85" s="141">
        <f t="shared" si="106"/>
        <v>0</v>
      </c>
      <c r="Q85" s="141">
        <f t="shared" si="107"/>
        <v>0</v>
      </c>
      <c r="R85" s="141">
        <f t="shared" si="108"/>
        <v>0</v>
      </c>
      <c r="S85" s="141">
        <f t="shared" si="109"/>
        <v>0</v>
      </c>
      <c r="T85" s="141">
        <f t="shared" si="110"/>
        <v>0</v>
      </c>
      <c r="U85" s="141">
        <f t="shared" si="111"/>
        <v>0</v>
      </c>
      <c r="V85" s="142">
        <f t="shared" si="112"/>
        <v>0</v>
      </c>
    </row>
    <row r="86" spans="2:22" x14ac:dyDescent="0.2">
      <c r="B86" s="214" t="s">
        <v>254</v>
      </c>
      <c r="C86" s="152">
        <v>48</v>
      </c>
      <c r="D86" s="215">
        <v>9460000</v>
      </c>
      <c r="E86" s="216">
        <v>0.09</v>
      </c>
      <c r="F86" s="215">
        <f>+ROUND((D86*E86)+D86,-3)</f>
        <v>10311000</v>
      </c>
      <c r="G86" s="216">
        <v>0.02</v>
      </c>
      <c r="H86" s="193">
        <f>+(F86*G86)+F86</f>
        <v>10517220</v>
      </c>
      <c r="I86" s="216">
        <v>2.5000000000000001E-2</v>
      </c>
      <c r="J86" s="193">
        <f>+(F86*I86)+F86</f>
        <v>10568775</v>
      </c>
      <c r="K86" s="195">
        <f t="shared" si="104"/>
        <v>37.241444670739988</v>
      </c>
      <c r="L86" s="199">
        <v>383996536</v>
      </c>
      <c r="M86" s="195">
        <f>+N86/F86</f>
        <v>34.301330617786832</v>
      </c>
      <c r="N86" s="199">
        <v>353681020</v>
      </c>
      <c r="O86" s="199">
        <f t="shared" si="105"/>
        <v>737677556</v>
      </c>
      <c r="P86" s="141">
        <f t="shared" si="106"/>
        <v>352290400</v>
      </c>
      <c r="Q86" s="141">
        <f t="shared" si="107"/>
        <v>373427824</v>
      </c>
      <c r="R86" s="141">
        <f t="shared" si="108"/>
        <v>10568712</v>
      </c>
      <c r="S86" s="141">
        <f t="shared" si="109"/>
        <v>324478000</v>
      </c>
      <c r="T86" s="141">
        <f t="shared" si="110"/>
        <v>343946680</v>
      </c>
      <c r="U86" s="141">
        <f t="shared" si="111"/>
        <v>9734340</v>
      </c>
      <c r="V86" s="142">
        <f t="shared" si="112"/>
        <v>20303052</v>
      </c>
    </row>
    <row r="87" spans="2:22" x14ac:dyDescent="0.2">
      <c r="B87" s="217" t="s">
        <v>543</v>
      </c>
      <c r="C87" s="152"/>
      <c r="D87" s="215"/>
      <c r="E87" s="216"/>
      <c r="F87" s="215"/>
      <c r="G87" s="152"/>
      <c r="H87" s="141"/>
      <c r="I87" s="152"/>
      <c r="J87" s="141"/>
      <c r="K87" s="218"/>
      <c r="L87" s="141"/>
      <c r="M87" s="218"/>
      <c r="N87" s="141"/>
      <c r="O87" s="141"/>
      <c r="P87" s="141"/>
      <c r="Q87" s="141"/>
      <c r="R87" s="141"/>
      <c r="S87" s="141"/>
      <c r="T87" s="141"/>
      <c r="U87" s="141"/>
      <c r="V87" s="142"/>
    </row>
    <row r="88" spans="2:22" x14ac:dyDescent="0.2">
      <c r="B88" s="214" t="s">
        <v>258</v>
      </c>
      <c r="C88" s="152">
        <v>106</v>
      </c>
      <c r="D88" s="215">
        <v>9222000</v>
      </c>
      <c r="E88" s="216">
        <v>0.09</v>
      </c>
      <c r="F88" s="215">
        <f t="shared" ref="F88:F93" si="113">+ROUND((D88*E88)+D88,-3)</f>
        <v>10052000</v>
      </c>
      <c r="G88" s="216">
        <v>0.02</v>
      </c>
      <c r="H88" s="193">
        <f t="shared" ref="H88:H93" si="114">+(F88*G88)+F88</f>
        <v>10253040</v>
      </c>
      <c r="I88" s="216">
        <v>2.5000000000000001E-2</v>
      </c>
      <c r="J88" s="193">
        <f t="shared" ref="J88:J93" si="115">+(F88*I88)+F88</f>
        <v>10303300</v>
      </c>
      <c r="K88" s="195">
        <f t="shared" ref="K88:K93" si="116">+L88/F88</f>
        <v>30.348911659371268</v>
      </c>
      <c r="L88" s="199">
        <v>305067260</v>
      </c>
      <c r="M88" s="195">
        <f t="shared" ref="M88:M93" si="117">+N88/F88</f>
        <v>27.348917628332671</v>
      </c>
      <c r="N88" s="199">
        <v>274911320</v>
      </c>
      <c r="O88" s="199">
        <f t="shared" ref="O88:O93" si="118">L88+N88</f>
        <v>579978580</v>
      </c>
      <c r="P88" s="141">
        <f t="shared" si="106"/>
        <v>279878220.18348622</v>
      </c>
      <c r="Q88" s="141">
        <f t="shared" si="107"/>
        <v>296670913.39449537</v>
      </c>
      <c r="R88" s="141">
        <f t="shared" si="108"/>
        <v>8396346.605504632</v>
      </c>
      <c r="S88" s="141">
        <f t="shared" si="109"/>
        <v>252212220.18348622</v>
      </c>
      <c r="T88" s="141">
        <f t="shared" si="110"/>
        <v>267344953.3944954</v>
      </c>
      <c r="U88" s="141">
        <f t="shared" si="111"/>
        <v>7566366.6055046022</v>
      </c>
      <c r="V88" s="142">
        <f t="shared" si="112"/>
        <v>15962713.211009234</v>
      </c>
    </row>
    <row r="89" spans="2:22" x14ac:dyDescent="0.2">
      <c r="B89" s="214" t="s">
        <v>256</v>
      </c>
      <c r="C89" s="152">
        <v>30</v>
      </c>
      <c r="D89" s="215">
        <v>6659000</v>
      </c>
      <c r="E89" s="216">
        <v>0.09</v>
      </c>
      <c r="F89" s="215">
        <f t="shared" si="113"/>
        <v>7258000</v>
      </c>
      <c r="G89" s="216">
        <v>0.02</v>
      </c>
      <c r="H89" s="193">
        <f t="shared" si="114"/>
        <v>7403160</v>
      </c>
      <c r="I89" s="216">
        <v>2.5000000000000001E-2</v>
      </c>
      <c r="J89" s="193">
        <f t="shared" si="115"/>
        <v>7439450</v>
      </c>
      <c r="K89" s="195">
        <f t="shared" si="116"/>
        <v>8.0003416919261507</v>
      </c>
      <c r="L89" s="199">
        <v>58066480.000000007</v>
      </c>
      <c r="M89" s="195">
        <f t="shared" si="117"/>
        <v>8.0003416919261507</v>
      </c>
      <c r="N89" s="199">
        <v>58066480.000000007</v>
      </c>
      <c r="O89" s="199">
        <f t="shared" si="118"/>
        <v>116132960.00000001</v>
      </c>
      <c r="P89" s="141">
        <f t="shared" si="106"/>
        <v>53272000</v>
      </c>
      <c r="Q89" s="141">
        <f t="shared" si="107"/>
        <v>56468320</v>
      </c>
      <c r="R89" s="141">
        <f t="shared" si="108"/>
        <v>1598160.0000000075</v>
      </c>
      <c r="S89" s="141">
        <f t="shared" si="109"/>
        <v>53272000</v>
      </c>
      <c r="T89" s="141">
        <f t="shared" si="110"/>
        <v>56468320</v>
      </c>
      <c r="U89" s="141">
        <f t="shared" si="111"/>
        <v>1598160.0000000075</v>
      </c>
      <c r="V89" s="142">
        <f t="shared" si="112"/>
        <v>3196320.0000000149</v>
      </c>
    </row>
    <row r="90" spans="2:22" x14ac:dyDescent="0.2">
      <c r="B90" s="214" t="s">
        <v>467</v>
      </c>
      <c r="C90" s="152">
        <v>30</v>
      </c>
      <c r="D90" s="215">
        <v>7613000</v>
      </c>
      <c r="E90" s="216">
        <v>0</v>
      </c>
      <c r="F90" s="215">
        <f t="shared" si="113"/>
        <v>7613000</v>
      </c>
      <c r="G90" s="216">
        <v>0.02</v>
      </c>
      <c r="H90" s="193">
        <f t="shared" si="114"/>
        <v>7765260</v>
      </c>
      <c r="I90" s="216">
        <v>2.5000000000000001E-2</v>
      </c>
      <c r="J90" s="193">
        <f t="shared" si="115"/>
        <v>7803325</v>
      </c>
      <c r="K90" s="195">
        <f t="shared" si="116"/>
        <v>7</v>
      </c>
      <c r="L90" s="199">
        <v>53291000</v>
      </c>
      <c r="M90" s="195">
        <f t="shared" si="117"/>
        <v>7</v>
      </c>
      <c r="N90" s="199">
        <v>53291000</v>
      </c>
      <c r="O90" s="199">
        <f t="shared" si="118"/>
        <v>106582000</v>
      </c>
      <c r="P90" s="141">
        <f t="shared" si="106"/>
        <v>53291000</v>
      </c>
      <c r="Q90" s="141">
        <f t="shared" si="107"/>
        <v>56488460</v>
      </c>
      <c r="R90" s="141">
        <f t="shared" si="108"/>
        <v>-3197460</v>
      </c>
      <c r="S90" s="141">
        <f t="shared" si="109"/>
        <v>53291000</v>
      </c>
      <c r="T90" s="141">
        <f t="shared" si="110"/>
        <v>56488460</v>
      </c>
      <c r="U90" s="141">
        <f t="shared" si="111"/>
        <v>-3197460</v>
      </c>
      <c r="V90" s="142">
        <f t="shared" si="112"/>
        <v>-6394920</v>
      </c>
    </row>
    <row r="91" spans="2:22" x14ac:dyDescent="0.2">
      <c r="B91" s="214" t="s">
        <v>468</v>
      </c>
      <c r="C91" s="152">
        <v>30</v>
      </c>
      <c r="D91" s="215">
        <v>8424000</v>
      </c>
      <c r="E91" s="216">
        <v>0</v>
      </c>
      <c r="F91" s="215">
        <f t="shared" si="113"/>
        <v>8424000</v>
      </c>
      <c r="G91" s="216">
        <v>0.02</v>
      </c>
      <c r="H91" s="193">
        <f t="shared" si="114"/>
        <v>8592480</v>
      </c>
      <c r="I91" s="216">
        <v>2.5000000000000001E-2</v>
      </c>
      <c r="J91" s="193">
        <f t="shared" si="115"/>
        <v>8634600</v>
      </c>
      <c r="K91" s="195">
        <f t="shared" si="116"/>
        <v>4.9000000000000004</v>
      </c>
      <c r="L91" s="199">
        <v>41277600</v>
      </c>
      <c r="M91" s="195">
        <f t="shared" si="117"/>
        <v>7</v>
      </c>
      <c r="N91" s="199">
        <v>58968000</v>
      </c>
      <c r="O91" s="199">
        <f t="shared" si="118"/>
        <v>100245600</v>
      </c>
      <c r="P91" s="141">
        <f t="shared" si="106"/>
        <v>41277600</v>
      </c>
      <c r="Q91" s="141">
        <f t="shared" si="107"/>
        <v>43754256</v>
      </c>
      <c r="R91" s="141">
        <f t="shared" si="108"/>
        <v>-2476656</v>
      </c>
      <c r="S91" s="141">
        <f t="shared" si="109"/>
        <v>58968000</v>
      </c>
      <c r="T91" s="141">
        <f t="shared" si="110"/>
        <v>62506080</v>
      </c>
      <c r="U91" s="141">
        <f t="shared" si="111"/>
        <v>-3538080</v>
      </c>
      <c r="V91" s="142">
        <f t="shared" si="112"/>
        <v>-6014736</v>
      </c>
    </row>
    <row r="92" spans="2:22" x14ac:dyDescent="0.2">
      <c r="B92" s="214" t="s">
        <v>257</v>
      </c>
      <c r="C92" s="152">
        <v>52</v>
      </c>
      <c r="D92" s="215">
        <v>8579000</v>
      </c>
      <c r="E92" s="216">
        <v>0.09</v>
      </c>
      <c r="F92" s="215">
        <f t="shared" si="113"/>
        <v>9351000</v>
      </c>
      <c r="G92" s="216">
        <v>0.02</v>
      </c>
      <c r="H92" s="193">
        <f t="shared" si="114"/>
        <v>9538020</v>
      </c>
      <c r="I92" s="216">
        <v>2.5000000000000001E-2</v>
      </c>
      <c r="J92" s="193">
        <f t="shared" si="115"/>
        <v>9584775</v>
      </c>
      <c r="K92" s="195">
        <f t="shared" si="116"/>
        <v>51.809872740883328</v>
      </c>
      <c r="L92" s="199">
        <v>484474120</v>
      </c>
      <c r="M92" s="195">
        <f t="shared" si="117"/>
        <v>51.809872740883328</v>
      </c>
      <c r="N92" s="199">
        <v>484474120</v>
      </c>
      <c r="O92" s="199">
        <f t="shared" si="118"/>
        <v>968948240</v>
      </c>
      <c r="P92" s="141">
        <f t="shared" si="106"/>
        <v>444471669.72477061</v>
      </c>
      <c r="Q92" s="141">
        <f t="shared" si="107"/>
        <v>471139969.90825683</v>
      </c>
      <c r="R92" s="141">
        <f t="shared" si="108"/>
        <v>13334150.091743171</v>
      </c>
      <c r="S92" s="141">
        <f t="shared" si="109"/>
        <v>444471669.72477061</v>
      </c>
      <c r="T92" s="141">
        <f t="shared" si="110"/>
        <v>471139969.90825683</v>
      </c>
      <c r="U92" s="141">
        <f t="shared" si="111"/>
        <v>13334150.091743171</v>
      </c>
      <c r="V92" s="142">
        <f t="shared" si="112"/>
        <v>26668300.183486342</v>
      </c>
    </row>
    <row r="93" spans="2:22" x14ac:dyDescent="0.2">
      <c r="B93" s="214" t="s">
        <v>259</v>
      </c>
      <c r="C93" s="152">
        <v>48</v>
      </c>
      <c r="D93" s="215">
        <v>8615000</v>
      </c>
      <c r="E93" s="216">
        <v>0.09</v>
      </c>
      <c r="F93" s="215">
        <f t="shared" si="113"/>
        <v>9390000</v>
      </c>
      <c r="G93" s="216">
        <v>0.02</v>
      </c>
      <c r="H93" s="193">
        <f t="shared" si="114"/>
        <v>9577800</v>
      </c>
      <c r="I93" s="216">
        <v>2.5000000000000001E-2</v>
      </c>
      <c r="J93" s="193">
        <f t="shared" si="115"/>
        <v>9624750</v>
      </c>
      <c r="K93" s="195">
        <f t="shared" si="116"/>
        <v>11.000410010649627</v>
      </c>
      <c r="L93" s="199">
        <v>103293850</v>
      </c>
      <c r="M93" s="195">
        <f t="shared" si="117"/>
        <v>14.00052183173589</v>
      </c>
      <c r="N93" s="199">
        <v>131464900</v>
      </c>
      <c r="O93" s="199">
        <f t="shared" si="118"/>
        <v>234758750</v>
      </c>
      <c r="P93" s="141">
        <f t="shared" si="106"/>
        <v>94765000</v>
      </c>
      <c r="Q93" s="141">
        <f t="shared" si="107"/>
        <v>100450900</v>
      </c>
      <c r="R93" s="141">
        <f t="shared" si="108"/>
        <v>2842950</v>
      </c>
      <c r="S93" s="141">
        <f t="shared" si="109"/>
        <v>120609999.99999999</v>
      </c>
      <c r="T93" s="141">
        <f t="shared" si="110"/>
        <v>127846599.99999999</v>
      </c>
      <c r="U93" s="141">
        <f t="shared" si="111"/>
        <v>3618300.0000000149</v>
      </c>
      <c r="V93" s="142">
        <f t="shared" si="112"/>
        <v>6461250.0000000149</v>
      </c>
    </row>
    <row r="94" spans="2:22" x14ac:dyDescent="0.2">
      <c r="B94" s="217" t="s">
        <v>260</v>
      </c>
      <c r="C94" s="152"/>
      <c r="D94" s="215"/>
      <c r="E94" s="216"/>
      <c r="F94" s="215"/>
      <c r="G94" s="152"/>
      <c r="H94" s="141"/>
      <c r="I94" s="152"/>
      <c r="J94" s="141"/>
      <c r="K94" s="218"/>
      <c r="L94" s="141"/>
      <c r="M94" s="218"/>
      <c r="N94" s="141"/>
      <c r="O94" s="141"/>
      <c r="P94" s="141"/>
      <c r="Q94" s="141"/>
      <c r="R94" s="141"/>
      <c r="S94" s="141"/>
      <c r="T94" s="141"/>
      <c r="U94" s="141"/>
      <c r="V94" s="142"/>
    </row>
    <row r="95" spans="2:22" x14ac:dyDescent="0.2">
      <c r="B95" s="214" t="s">
        <v>261</v>
      </c>
      <c r="C95" s="152">
        <v>24</v>
      </c>
      <c r="D95" s="215">
        <v>6477000</v>
      </c>
      <c r="E95" s="216">
        <v>0.09</v>
      </c>
      <c r="F95" s="215">
        <f t="shared" ref="F95:F96" si="119">+ROUND((D95*E95)+D95,-3)</f>
        <v>7060000</v>
      </c>
      <c r="G95" s="216">
        <v>0.02</v>
      </c>
      <c r="H95" s="193">
        <f t="shared" ref="H95:H96" si="120">+(F95*G95)+F95</f>
        <v>7201200</v>
      </c>
      <c r="I95" s="216">
        <v>2.5000000000000001E-2</v>
      </c>
      <c r="J95" s="193">
        <f t="shared" ref="J95:J96" si="121">+(F95*I95)+F95</f>
        <v>7236500</v>
      </c>
      <c r="K95" s="195">
        <f t="shared" ref="K95:K106" si="122">+L95/F95</f>
        <v>0</v>
      </c>
      <c r="L95" s="141"/>
      <c r="M95" s="218"/>
      <c r="N95" s="141"/>
      <c r="O95" s="141">
        <f t="shared" ref="O95:O96" si="123">L95+N95</f>
        <v>0</v>
      </c>
      <c r="P95" s="141">
        <f t="shared" si="106"/>
        <v>0</v>
      </c>
      <c r="Q95" s="141">
        <f t="shared" si="107"/>
        <v>0</v>
      </c>
      <c r="R95" s="141">
        <f t="shared" si="108"/>
        <v>0</v>
      </c>
      <c r="S95" s="141">
        <f t="shared" si="109"/>
        <v>0</v>
      </c>
      <c r="T95" s="141">
        <f t="shared" si="110"/>
        <v>0</v>
      </c>
      <c r="U95" s="141">
        <f t="shared" si="111"/>
        <v>0</v>
      </c>
      <c r="V95" s="142">
        <f t="shared" si="112"/>
        <v>0</v>
      </c>
    </row>
    <row r="96" spans="2:22" x14ac:dyDescent="0.2">
      <c r="B96" s="214" t="s">
        <v>262</v>
      </c>
      <c r="C96" s="152">
        <v>40</v>
      </c>
      <c r="D96" s="215">
        <v>6324000</v>
      </c>
      <c r="E96" s="216">
        <v>0.09</v>
      </c>
      <c r="F96" s="215">
        <f t="shared" si="119"/>
        <v>6893000</v>
      </c>
      <c r="G96" s="216">
        <v>0.02</v>
      </c>
      <c r="H96" s="193">
        <f t="shared" si="120"/>
        <v>7030860</v>
      </c>
      <c r="I96" s="216">
        <v>2.5000000000000001E-2</v>
      </c>
      <c r="J96" s="193">
        <f t="shared" si="121"/>
        <v>7065325</v>
      </c>
      <c r="K96" s="195">
        <f t="shared" si="122"/>
        <v>21.149171623386049</v>
      </c>
      <c r="L96" s="199">
        <v>145781240.00000003</v>
      </c>
      <c r="M96" s="195">
        <f>+N96/F96</f>
        <v>20.340879152763677</v>
      </c>
      <c r="N96" s="199">
        <v>140209680.00000003</v>
      </c>
      <c r="O96" s="199">
        <f t="shared" si="123"/>
        <v>285990920.00000006</v>
      </c>
      <c r="P96" s="141">
        <f t="shared" si="106"/>
        <v>133744256.88073397</v>
      </c>
      <c r="Q96" s="141">
        <f t="shared" si="107"/>
        <v>141768912.293578</v>
      </c>
      <c r="R96" s="141">
        <f t="shared" si="108"/>
        <v>4012327.7064220309</v>
      </c>
      <c r="S96" s="141">
        <f t="shared" si="109"/>
        <v>128632733.94495414</v>
      </c>
      <c r="T96" s="141">
        <f t="shared" si="110"/>
        <v>136350697.9816514</v>
      </c>
      <c r="U96" s="141">
        <f t="shared" si="111"/>
        <v>3858982.0183486342</v>
      </c>
      <c r="V96" s="142">
        <f t="shared" si="112"/>
        <v>7871309.7247706652</v>
      </c>
    </row>
    <row r="97" spans="2:22" x14ac:dyDescent="0.2">
      <c r="B97" s="217" t="s">
        <v>525</v>
      </c>
      <c r="C97" s="152"/>
      <c r="D97" s="215"/>
      <c r="E97" s="216"/>
      <c r="F97" s="215"/>
      <c r="G97" s="152"/>
      <c r="H97" s="141"/>
      <c r="I97" s="152"/>
      <c r="J97" s="141"/>
      <c r="K97" s="218"/>
      <c r="L97" s="141"/>
      <c r="M97" s="218"/>
      <c r="N97" s="141"/>
      <c r="O97" s="141"/>
      <c r="P97" s="141"/>
      <c r="Q97" s="141"/>
      <c r="R97" s="141"/>
      <c r="S97" s="141"/>
      <c r="T97" s="141"/>
      <c r="U97" s="141"/>
      <c r="V97" s="142"/>
    </row>
    <row r="98" spans="2:22" x14ac:dyDescent="0.2">
      <c r="B98" s="214" t="s">
        <v>469</v>
      </c>
      <c r="C98" s="152">
        <v>35</v>
      </c>
      <c r="D98" s="215">
        <v>7118000</v>
      </c>
      <c r="E98" s="216">
        <v>0.09</v>
      </c>
      <c r="F98" s="215">
        <f t="shared" ref="F98:F118" si="124">+ROUND((D98*E98)+D98,-3)</f>
        <v>7759000</v>
      </c>
      <c r="G98" s="216">
        <v>0.02</v>
      </c>
      <c r="H98" s="193">
        <f t="shared" ref="H98:H123" si="125">+(F98*G98)+F98</f>
        <v>7914180</v>
      </c>
      <c r="I98" s="216">
        <v>2.5000000000000001E-2</v>
      </c>
      <c r="J98" s="193">
        <f>+(F98*I98)+F98</f>
        <v>7952975</v>
      </c>
      <c r="K98" s="195">
        <f t="shared" si="122"/>
        <v>22.354460626369381</v>
      </c>
      <c r="L98" s="199">
        <v>173448260.00000003</v>
      </c>
      <c r="M98" s="195">
        <f t="shared" ref="M98:M106" si="126">+N98/F98</f>
        <v>25.354313700219105</v>
      </c>
      <c r="N98" s="199">
        <v>196724120.00000003</v>
      </c>
      <c r="O98" s="199">
        <f t="shared" ref="O98:O106" si="127">L98+N98</f>
        <v>370172380.00000006</v>
      </c>
      <c r="P98" s="141">
        <f t="shared" si="106"/>
        <v>159126844.03669727</v>
      </c>
      <c r="Q98" s="141">
        <f t="shared" si="107"/>
        <v>168674454.67889911</v>
      </c>
      <c r="R98" s="141">
        <f t="shared" si="108"/>
        <v>4773805.3211009204</v>
      </c>
      <c r="S98" s="141">
        <f t="shared" si="109"/>
        <v>180480844.03669727</v>
      </c>
      <c r="T98" s="141">
        <f t="shared" si="110"/>
        <v>191309694.67889911</v>
      </c>
      <c r="U98" s="141">
        <f t="shared" si="111"/>
        <v>5414425.3211009204</v>
      </c>
      <c r="V98" s="142">
        <f t="shared" si="112"/>
        <v>10188230.642201841</v>
      </c>
    </row>
    <row r="99" spans="2:22" x14ac:dyDescent="0.2">
      <c r="B99" s="214" t="s">
        <v>276</v>
      </c>
      <c r="C99" s="152">
        <v>34</v>
      </c>
      <c r="D99" s="215">
        <v>7960000</v>
      </c>
      <c r="E99" s="216">
        <v>0.09</v>
      </c>
      <c r="F99" s="215">
        <f t="shared" si="124"/>
        <v>8676000</v>
      </c>
      <c r="G99" s="216">
        <v>0.02</v>
      </c>
      <c r="H99" s="193">
        <f t="shared" si="125"/>
        <v>8849520</v>
      </c>
      <c r="I99" s="152"/>
      <c r="J99" s="141"/>
      <c r="K99" s="195">
        <f t="shared" si="122"/>
        <v>119.38040571692024</v>
      </c>
      <c r="L99" s="199">
        <v>1035744400</v>
      </c>
      <c r="M99" s="195">
        <f t="shared" si="126"/>
        <v>117.91931765790687</v>
      </c>
      <c r="N99" s="199">
        <v>1023068000</v>
      </c>
      <c r="O99" s="199">
        <f t="shared" si="127"/>
        <v>2058812400</v>
      </c>
      <c r="P99" s="141">
        <f t="shared" si="106"/>
        <v>950224220.18348622</v>
      </c>
      <c r="Q99" s="141">
        <f t="shared" si="107"/>
        <v>1007237673.3944954</v>
      </c>
      <c r="R99" s="141">
        <f t="shared" si="108"/>
        <v>28506726.605504632</v>
      </c>
      <c r="S99" s="141">
        <f t="shared" si="109"/>
        <v>938594495.41284394</v>
      </c>
      <c r="T99" s="141">
        <f t="shared" si="110"/>
        <v>994910165.13761461</v>
      </c>
      <c r="U99" s="141">
        <f t="shared" si="111"/>
        <v>28157834.862385392</v>
      </c>
      <c r="V99" s="142">
        <f t="shared" si="112"/>
        <v>56664561.467890024</v>
      </c>
    </row>
    <row r="100" spans="2:22" x14ac:dyDescent="0.2">
      <c r="B100" s="214" t="s">
        <v>274</v>
      </c>
      <c r="C100" s="152">
        <v>34</v>
      </c>
      <c r="D100" s="215">
        <v>7923000</v>
      </c>
      <c r="E100" s="216">
        <v>0.09</v>
      </c>
      <c r="F100" s="215">
        <f t="shared" si="124"/>
        <v>8636000</v>
      </c>
      <c r="G100" s="216">
        <v>0.02</v>
      </c>
      <c r="H100" s="193">
        <f t="shared" si="125"/>
        <v>8808720</v>
      </c>
      <c r="I100" s="216">
        <v>2.5000000000000001E-2</v>
      </c>
      <c r="J100" s="193">
        <f>+(F100*I100)+F100</f>
        <v>8851900</v>
      </c>
      <c r="K100" s="195">
        <f t="shared" si="122"/>
        <v>38.000308012968965</v>
      </c>
      <c r="L100" s="199">
        <v>328170660</v>
      </c>
      <c r="M100" s="195">
        <f t="shared" si="126"/>
        <v>37.000299907364521</v>
      </c>
      <c r="N100" s="199">
        <v>319534590</v>
      </c>
      <c r="O100" s="199">
        <f t="shared" si="127"/>
        <v>647705250</v>
      </c>
      <c r="P100" s="141">
        <f t="shared" si="106"/>
        <v>301074000</v>
      </c>
      <c r="Q100" s="141">
        <f t="shared" si="107"/>
        <v>319138440</v>
      </c>
      <c r="R100" s="141">
        <f t="shared" si="108"/>
        <v>9032220</v>
      </c>
      <c r="S100" s="141">
        <f t="shared" si="109"/>
        <v>293151000</v>
      </c>
      <c r="T100" s="141">
        <f t="shared" si="110"/>
        <v>310740060</v>
      </c>
      <c r="U100" s="141">
        <f t="shared" si="111"/>
        <v>8794530</v>
      </c>
      <c r="V100" s="142">
        <f t="shared" si="112"/>
        <v>17826750</v>
      </c>
    </row>
    <row r="101" spans="2:22" x14ac:dyDescent="0.2">
      <c r="B101" s="214" t="s">
        <v>470</v>
      </c>
      <c r="C101" s="152">
        <v>34</v>
      </c>
      <c r="D101" s="215">
        <v>7960000</v>
      </c>
      <c r="E101" s="216">
        <v>0.09</v>
      </c>
      <c r="F101" s="215">
        <f t="shared" si="124"/>
        <v>8676000</v>
      </c>
      <c r="G101" s="216">
        <v>0.02</v>
      </c>
      <c r="H101" s="193">
        <f t="shared" si="125"/>
        <v>8849520</v>
      </c>
      <c r="I101" s="216">
        <v>2.5000000000000001E-2</v>
      </c>
      <c r="J101" s="193">
        <f>+(F101*I101)+F101</f>
        <v>8892900</v>
      </c>
      <c r="K101" s="195">
        <f t="shared" si="122"/>
        <v>172.97404333794375</v>
      </c>
      <c r="L101" s="199">
        <v>1500722800</v>
      </c>
      <c r="M101" s="195">
        <f t="shared" si="126"/>
        <v>154.78879668049794</v>
      </c>
      <c r="N101" s="199">
        <v>1342947600</v>
      </c>
      <c r="O101" s="199">
        <f t="shared" si="127"/>
        <v>2843670400</v>
      </c>
      <c r="P101" s="141">
        <f t="shared" si="106"/>
        <v>1376809908.2568805</v>
      </c>
      <c r="Q101" s="141">
        <f t="shared" si="107"/>
        <v>1459418502.7522933</v>
      </c>
      <c r="R101" s="141">
        <f t="shared" si="108"/>
        <v>41304297.247706652</v>
      </c>
      <c r="S101" s="141">
        <f t="shared" si="109"/>
        <v>1232062018.3486238</v>
      </c>
      <c r="T101" s="141">
        <f t="shared" si="110"/>
        <v>1305985739.4495411</v>
      </c>
      <c r="U101" s="141">
        <f t="shared" si="111"/>
        <v>36961860.550458908</v>
      </c>
      <c r="V101" s="142">
        <f t="shared" si="112"/>
        <v>78266157.79816556</v>
      </c>
    </row>
    <row r="102" spans="2:22" x14ac:dyDescent="0.2">
      <c r="B102" s="214" t="s">
        <v>273</v>
      </c>
      <c r="C102" s="152">
        <v>34</v>
      </c>
      <c r="D102" s="215">
        <v>7923000</v>
      </c>
      <c r="E102" s="216">
        <v>0.09</v>
      </c>
      <c r="F102" s="215">
        <f t="shared" si="124"/>
        <v>8636000</v>
      </c>
      <c r="G102" s="216">
        <v>0.02</v>
      </c>
      <c r="H102" s="193">
        <f t="shared" si="125"/>
        <v>8808720</v>
      </c>
      <c r="I102" s="216">
        <v>2.5000000000000001E-2</v>
      </c>
      <c r="J102" s="193">
        <f>+(F102*I102)+F102</f>
        <v>8851900</v>
      </c>
      <c r="K102" s="195">
        <f t="shared" si="122"/>
        <v>16.344286706808706</v>
      </c>
      <c r="L102" s="199">
        <v>141149260</v>
      </c>
      <c r="M102" s="195">
        <f t="shared" si="126"/>
        <v>16.348756368689209</v>
      </c>
      <c r="N102" s="199">
        <v>141187860</v>
      </c>
      <c r="O102" s="199">
        <f t="shared" si="127"/>
        <v>282337120</v>
      </c>
      <c r="P102" s="141">
        <f t="shared" si="106"/>
        <v>129494733.94495411</v>
      </c>
      <c r="Q102" s="141">
        <f t="shared" si="107"/>
        <v>137264417.98165137</v>
      </c>
      <c r="R102" s="141">
        <f t="shared" si="108"/>
        <v>3884842.0183486342</v>
      </c>
      <c r="S102" s="141">
        <f t="shared" si="109"/>
        <v>129530146.78899081</v>
      </c>
      <c r="T102" s="141">
        <f t="shared" si="110"/>
        <v>137301955.59633026</v>
      </c>
      <c r="U102" s="141">
        <f t="shared" si="111"/>
        <v>3885904.4036697447</v>
      </c>
      <c r="V102" s="142">
        <f t="shared" si="112"/>
        <v>7770746.422018379</v>
      </c>
    </row>
    <row r="103" spans="2:22" x14ac:dyDescent="0.2">
      <c r="B103" s="214" t="s">
        <v>275</v>
      </c>
      <c r="C103" s="152">
        <v>34</v>
      </c>
      <c r="D103" s="215">
        <v>7450000</v>
      </c>
      <c r="E103" s="216">
        <v>0.09</v>
      </c>
      <c r="F103" s="215">
        <f t="shared" si="124"/>
        <v>8121000</v>
      </c>
      <c r="G103" s="216">
        <v>0.02</v>
      </c>
      <c r="H103" s="193">
        <f t="shared" si="125"/>
        <v>8283420</v>
      </c>
      <c r="I103" s="152"/>
      <c r="J103" s="141"/>
      <c r="K103" s="195">
        <f t="shared" si="122"/>
        <v>22.951853220046797</v>
      </c>
      <c r="L103" s="199">
        <v>186392000.00000003</v>
      </c>
      <c r="M103" s="195">
        <f t="shared" si="126"/>
        <v>22.951853220046797</v>
      </c>
      <c r="N103" s="199">
        <v>186392000.00000003</v>
      </c>
      <c r="O103" s="199">
        <f t="shared" si="127"/>
        <v>372784000.00000006</v>
      </c>
      <c r="P103" s="141">
        <f t="shared" si="106"/>
        <v>171001834.86238533</v>
      </c>
      <c r="Q103" s="141">
        <f t="shared" si="107"/>
        <v>181261944.95412844</v>
      </c>
      <c r="R103" s="141">
        <f t="shared" si="108"/>
        <v>5130055.0458715856</v>
      </c>
      <c r="S103" s="141">
        <f t="shared" si="109"/>
        <v>171001834.86238533</v>
      </c>
      <c r="T103" s="141">
        <f t="shared" si="110"/>
        <v>181261944.95412844</v>
      </c>
      <c r="U103" s="141">
        <f t="shared" si="111"/>
        <v>5130055.0458715856</v>
      </c>
      <c r="V103" s="142">
        <f t="shared" si="112"/>
        <v>10260110.091743171</v>
      </c>
    </row>
    <row r="104" spans="2:22" x14ac:dyDescent="0.2">
      <c r="B104" s="214" t="s">
        <v>263</v>
      </c>
      <c r="C104" s="152">
        <v>24</v>
      </c>
      <c r="D104" s="215">
        <v>6130000</v>
      </c>
      <c r="E104" s="216">
        <v>0.09</v>
      </c>
      <c r="F104" s="215">
        <f t="shared" si="124"/>
        <v>6682000</v>
      </c>
      <c r="G104" s="216">
        <v>0.02</v>
      </c>
      <c r="H104" s="193">
        <f t="shared" si="125"/>
        <v>6815640</v>
      </c>
      <c r="I104" s="216">
        <v>2.5000000000000001E-2</v>
      </c>
      <c r="J104" s="193">
        <f t="shared" ref="J104:J114" si="128">+(F104*I104)+F104</f>
        <v>6849050</v>
      </c>
      <c r="K104" s="195">
        <f t="shared" si="122"/>
        <v>20.349700688416647</v>
      </c>
      <c r="L104" s="199">
        <v>135976700.00000003</v>
      </c>
      <c r="M104" s="195">
        <f t="shared" si="126"/>
        <v>26.07421430709369</v>
      </c>
      <c r="N104" s="199">
        <v>174227900.00000003</v>
      </c>
      <c r="O104" s="199">
        <f t="shared" si="127"/>
        <v>310204600.00000006</v>
      </c>
      <c r="P104" s="141">
        <f t="shared" si="106"/>
        <v>124749266.05504589</v>
      </c>
      <c r="Q104" s="141">
        <f t="shared" si="107"/>
        <v>132234222.01834863</v>
      </c>
      <c r="R104" s="141">
        <f t="shared" si="108"/>
        <v>3742477.9816513956</v>
      </c>
      <c r="S104" s="141">
        <f t="shared" si="109"/>
        <v>159842110.09174314</v>
      </c>
      <c r="T104" s="141">
        <f t="shared" si="110"/>
        <v>169432636.69724774</v>
      </c>
      <c r="U104" s="141">
        <f t="shared" si="111"/>
        <v>4795263.3027522862</v>
      </c>
      <c r="V104" s="142">
        <f t="shared" si="112"/>
        <v>8537741.2844036818</v>
      </c>
    </row>
    <row r="105" spans="2:22" x14ac:dyDescent="0.2">
      <c r="B105" s="214" t="s">
        <v>266</v>
      </c>
      <c r="C105" s="152">
        <v>37</v>
      </c>
      <c r="D105" s="215">
        <v>9563000</v>
      </c>
      <c r="E105" s="216">
        <v>0.09</v>
      </c>
      <c r="F105" s="215">
        <f t="shared" si="124"/>
        <v>10424000</v>
      </c>
      <c r="G105" s="216">
        <v>0.02</v>
      </c>
      <c r="H105" s="193">
        <f t="shared" si="125"/>
        <v>10632480</v>
      </c>
      <c r="I105" s="216">
        <v>2.5000000000000001E-2</v>
      </c>
      <c r="J105" s="193">
        <f t="shared" si="128"/>
        <v>10684600</v>
      </c>
      <c r="K105" s="195">
        <f t="shared" si="122"/>
        <v>16.615731964696852</v>
      </c>
      <c r="L105" s="199">
        <v>173202390</v>
      </c>
      <c r="M105" s="195">
        <f t="shared" si="126"/>
        <v>19.615636991557942</v>
      </c>
      <c r="N105" s="199">
        <v>204473400</v>
      </c>
      <c r="O105" s="199">
        <f t="shared" si="127"/>
        <v>377675790</v>
      </c>
      <c r="P105" s="141">
        <f t="shared" si="106"/>
        <v>158901275.22935778</v>
      </c>
      <c r="Q105" s="141">
        <f t="shared" si="107"/>
        <v>168435351.74311924</v>
      </c>
      <c r="R105" s="141">
        <f t="shared" si="108"/>
        <v>4767038.2568807602</v>
      </c>
      <c r="S105" s="141">
        <f t="shared" si="109"/>
        <v>187590275.22935778</v>
      </c>
      <c r="T105" s="141">
        <f t="shared" si="110"/>
        <v>198845691.74311924</v>
      </c>
      <c r="U105" s="141">
        <f t="shared" si="111"/>
        <v>5627708.2568807602</v>
      </c>
      <c r="V105" s="142">
        <f t="shared" si="112"/>
        <v>10394746.51376152</v>
      </c>
    </row>
    <row r="106" spans="2:22" x14ac:dyDescent="0.2">
      <c r="B106" s="214" t="s">
        <v>269</v>
      </c>
      <c r="C106" s="152">
        <v>36</v>
      </c>
      <c r="D106" s="215">
        <v>8776000</v>
      </c>
      <c r="E106" s="216">
        <v>0.09</v>
      </c>
      <c r="F106" s="215">
        <f t="shared" si="124"/>
        <v>9566000</v>
      </c>
      <c r="G106" s="216">
        <v>0.02</v>
      </c>
      <c r="H106" s="193">
        <f t="shared" si="125"/>
        <v>9757320</v>
      </c>
      <c r="I106" s="216">
        <v>2.5000000000000001E-2</v>
      </c>
      <c r="J106" s="193">
        <f t="shared" si="128"/>
        <v>9805150</v>
      </c>
      <c r="K106" s="195">
        <f t="shared" si="122"/>
        <v>74.273869956094501</v>
      </c>
      <c r="L106" s="199">
        <v>710503840</v>
      </c>
      <c r="M106" s="195">
        <f t="shared" si="126"/>
        <v>155.96577043696425</v>
      </c>
      <c r="N106" s="199">
        <v>1491968560</v>
      </c>
      <c r="O106" s="199">
        <f t="shared" si="127"/>
        <v>2202472400</v>
      </c>
      <c r="P106" s="141">
        <f t="shared" si="106"/>
        <v>651838385.32110083</v>
      </c>
      <c r="Q106" s="141">
        <f t="shared" si="107"/>
        <v>690948688.44036686</v>
      </c>
      <c r="R106" s="141">
        <f t="shared" si="108"/>
        <v>19555151.559633136</v>
      </c>
      <c r="S106" s="141">
        <f t="shared" si="109"/>
        <v>1368778495.4128439</v>
      </c>
      <c r="T106" s="141">
        <f t="shared" si="110"/>
        <v>1450905205.1376145</v>
      </c>
      <c r="U106" s="141">
        <f t="shared" si="111"/>
        <v>41063354.862385511</v>
      </c>
      <c r="V106" s="142">
        <f t="shared" si="112"/>
        <v>60618506.422018647</v>
      </c>
    </row>
    <row r="107" spans="2:22" x14ac:dyDescent="0.2">
      <c r="B107" s="214" t="s">
        <v>471</v>
      </c>
      <c r="C107" s="152">
        <v>36</v>
      </c>
      <c r="D107" s="215">
        <v>8344000</v>
      </c>
      <c r="E107" s="216">
        <v>0.09</v>
      </c>
      <c r="F107" s="215">
        <f t="shared" si="124"/>
        <v>9095000</v>
      </c>
      <c r="G107" s="216">
        <v>0.02</v>
      </c>
      <c r="H107" s="193">
        <f t="shared" si="125"/>
        <v>9276900</v>
      </c>
      <c r="I107" s="216">
        <v>2.5000000000000001E-2</v>
      </c>
      <c r="J107" s="193">
        <f t="shared" si="128"/>
        <v>9322375</v>
      </c>
      <c r="K107" s="306">
        <f>+(L107/((F107+F108)/2))</f>
        <v>52.782757622849793</v>
      </c>
      <c r="L107" s="304">
        <v>492489520</v>
      </c>
      <c r="M107" s="306">
        <f>(N107/((F107+F108)/2))</f>
        <v>113.14934033545897</v>
      </c>
      <c r="N107" s="304">
        <v>1055739920</v>
      </c>
      <c r="O107" s="304">
        <f>L107+N107</f>
        <v>1548229440</v>
      </c>
      <c r="P107" s="304">
        <f>L107/(1+E107)</f>
        <v>451825247.70642197</v>
      </c>
      <c r="Q107" s="304">
        <f>(P107*$Q$11)+P107</f>
        <v>478934762.5688073</v>
      </c>
      <c r="R107" s="304">
        <f>L107-Q107</f>
        <v>13554757.431192696</v>
      </c>
      <c r="S107" s="304">
        <f>N107/(1+E107)</f>
        <v>968568733.94495404</v>
      </c>
      <c r="T107" s="304">
        <f>(S107*$T$11)+S107</f>
        <v>1026682857.9816513</v>
      </c>
      <c r="U107" s="304">
        <f>N107-T107</f>
        <v>29057062.018348694</v>
      </c>
      <c r="V107" s="305">
        <f>R107+U107</f>
        <v>42611819.44954139</v>
      </c>
    </row>
    <row r="108" spans="2:22" x14ac:dyDescent="0.2">
      <c r="B108" s="214" t="s">
        <v>472</v>
      </c>
      <c r="C108" s="152">
        <v>36</v>
      </c>
      <c r="D108" s="215">
        <v>8776000</v>
      </c>
      <c r="E108" s="216">
        <v>0.09</v>
      </c>
      <c r="F108" s="215">
        <f t="shared" si="124"/>
        <v>9566000</v>
      </c>
      <c r="G108" s="216">
        <v>0.02</v>
      </c>
      <c r="H108" s="193">
        <f t="shared" si="125"/>
        <v>9757320</v>
      </c>
      <c r="I108" s="216">
        <v>2.5000000000000001E-2</v>
      </c>
      <c r="J108" s="193">
        <f t="shared" si="128"/>
        <v>9805150</v>
      </c>
      <c r="K108" s="306"/>
      <c r="L108" s="304"/>
      <c r="M108" s="306"/>
      <c r="N108" s="304"/>
      <c r="O108" s="304"/>
      <c r="P108" s="304"/>
      <c r="Q108" s="304"/>
      <c r="R108" s="304"/>
      <c r="S108" s="304"/>
      <c r="T108" s="304"/>
      <c r="U108" s="304"/>
      <c r="V108" s="305"/>
    </row>
    <row r="109" spans="2:22" x14ac:dyDescent="0.2">
      <c r="B109" s="214" t="s">
        <v>268</v>
      </c>
      <c r="C109" s="152">
        <v>36</v>
      </c>
      <c r="D109" s="215">
        <v>7923000</v>
      </c>
      <c r="E109" s="216">
        <v>0.09</v>
      </c>
      <c r="F109" s="215">
        <f t="shared" si="124"/>
        <v>8636000</v>
      </c>
      <c r="G109" s="216">
        <v>0.02</v>
      </c>
      <c r="H109" s="193">
        <f t="shared" si="125"/>
        <v>8808720</v>
      </c>
      <c r="I109" s="216">
        <v>2.5000000000000001E-2</v>
      </c>
      <c r="J109" s="193">
        <f t="shared" si="128"/>
        <v>8851900</v>
      </c>
      <c r="K109" s="195">
        <f t="shared" ref="K109:K114" si="129">+L109/F109</f>
        <v>0</v>
      </c>
      <c r="L109" s="141"/>
      <c r="M109" s="195">
        <f>+N109/F109</f>
        <v>0</v>
      </c>
      <c r="N109" s="141"/>
      <c r="O109" s="141">
        <f t="shared" ref="O109:O114" si="130">L109+N109</f>
        <v>0</v>
      </c>
      <c r="P109" s="141">
        <f>L109/(1+E109)</f>
        <v>0</v>
      </c>
      <c r="Q109" s="141">
        <f>(P109*$Q$11)+P109</f>
        <v>0</v>
      </c>
      <c r="R109" s="141">
        <f>L109-Q109</f>
        <v>0</v>
      </c>
      <c r="S109" s="141">
        <f>N109/(1+E109)</f>
        <v>0</v>
      </c>
      <c r="T109" s="141">
        <f>(S109*$T$11)+S109</f>
        <v>0</v>
      </c>
      <c r="U109" s="141">
        <f>N109-T109</f>
        <v>0</v>
      </c>
      <c r="V109" s="142">
        <f>R109+U109</f>
        <v>0</v>
      </c>
    </row>
    <row r="110" spans="2:22" x14ac:dyDescent="0.2">
      <c r="B110" s="214" t="s">
        <v>267</v>
      </c>
      <c r="C110" s="152">
        <v>24</v>
      </c>
      <c r="D110" s="215">
        <v>8776000</v>
      </c>
      <c r="E110" s="216">
        <v>0.09</v>
      </c>
      <c r="F110" s="215">
        <f t="shared" si="124"/>
        <v>9566000</v>
      </c>
      <c r="G110" s="216">
        <v>0.02</v>
      </c>
      <c r="H110" s="193">
        <f t="shared" si="125"/>
        <v>9757320</v>
      </c>
      <c r="I110" s="216">
        <v>2.5000000000000001E-2</v>
      </c>
      <c r="J110" s="193">
        <f t="shared" si="128"/>
        <v>9805150</v>
      </c>
      <c r="K110" s="195">
        <f t="shared" si="129"/>
        <v>100.0396236671545</v>
      </c>
      <c r="L110" s="199">
        <v>956979040</v>
      </c>
      <c r="M110" s="195">
        <f t="shared" ref="M110:M114" si="131">+N110/F110</f>
        <v>210.67877064603806</v>
      </c>
      <c r="N110" s="199">
        <v>2015353120</v>
      </c>
      <c r="O110" s="199">
        <f t="shared" si="130"/>
        <v>2972332160</v>
      </c>
      <c r="P110" s="141">
        <f t="shared" ref="P110:P114" si="132">L110/(1+E110)</f>
        <v>877962422.01834857</v>
      </c>
      <c r="Q110" s="141">
        <f t="shared" ref="Q110:Q114" si="133">(P110*$Q$11)+P110</f>
        <v>930640167.33944952</v>
      </c>
      <c r="R110" s="141">
        <f t="shared" ref="R110:R114" si="134">L110-Q110</f>
        <v>26338872.660550475</v>
      </c>
      <c r="S110" s="141">
        <f t="shared" ref="S110:S114" si="135">N110/(1+E110)</f>
        <v>1848947816.5137613</v>
      </c>
      <c r="T110" s="141">
        <f t="shared" ref="T110:T114" si="136">(S110*$T$11)+S110</f>
        <v>1959884685.5045869</v>
      </c>
      <c r="U110" s="141">
        <f t="shared" ref="U110:U114" si="137">N110-T110</f>
        <v>55468434.495413065</v>
      </c>
      <c r="V110" s="142">
        <f t="shared" ref="V110:V114" si="138">R110+U110</f>
        <v>81807307.15596354</v>
      </c>
    </row>
    <row r="111" spans="2:22" x14ac:dyDescent="0.2">
      <c r="B111" s="214" t="s">
        <v>265</v>
      </c>
      <c r="C111" s="152">
        <v>32</v>
      </c>
      <c r="D111" s="215">
        <v>9249000</v>
      </c>
      <c r="E111" s="216">
        <v>0.09</v>
      </c>
      <c r="F111" s="215">
        <f t="shared" si="124"/>
        <v>10081000</v>
      </c>
      <c r="G111" s="216">
        <v>0.02</v>
      </c>
      <c r="H111" s="193">
        <f t="shared" si="125"/>
        <v>10282620</v>
      </c>
      <c r="I111" s="216">
        <v>2.5000000000000001E-2</v>
      </c>
      <c r="J111" s="193">
        <f t="shared" si="128"/>
        <v>10333025</v>
      </c>
      <c r="K111" s="195">
        <f t="shared" si="129"/>
        <v>12.504546175974605</v>
      </c>
      <c r="L111" s="199">
        <v>126058330</v>
      </c>
      <c r="M111" s="195">
        <f t="shared" si="131"/>
        <v>15.802257712528519</v>
      </c>
      <c r="N111" s="199">
        <v>159302560</v>
      </c>
      <c r="O111" s="199">
        <f t="shared" si="130"/>
        <v>285360890</v>
      </c>
      <c r="P111" s="141">
        <f t="shared" si="132"/>
        <v>115649844.03669724</v>
      </c>
      <c r="Q111" s="141">
        <f t="shared" si="133"/>
        <v>122588834.67889908</v>
      </c>
      <c r="R111" s="141">
        <f t="shared" si="134"/>
        <v>3469495.3211009204</v>
      </c>
      <c r="S111" s="141">
        <f t="shared" si="135"/>
        <v>146149137.61467889</v>
      </c>
      <c r="T111" s="141">
        <f t="shared" si="136"/>
        <v>154918085.87155962</v>
      </c>
      <c r="U111" s="141">
        <f t="shared" si="137"/>
        <v>4384474.1284403801</v>
      </c>
      <c r="V111" s="142">
        <f t="shared" si="138"/>
        <v>7853969.4495413005</v>
      </c>
    </row>
    <row r="112" spans="2:22" x14ac:dyDescent="0.2">
      <c r="B112" s="214" t="s">
        <v>270</v>
      </c>
      <c r="C112" s="152">
        <v>24</v>
      </c>
      <c r="D112" s="215">
        <v>8344000</v>
      </c>
      <c r="E112" s="216">
        <v>0.09</v>
      </c>
      <c r="F112" s="215">
        <f t="shared" si="124"/>
        <v>9095000</v>
      </c>
      <c r="G112" s="216">
        <v>0.02</v>
      </c>
      <c r="H112" s="193">
        <f t="shared" si="125"/>
        <v>9276900</v>
      </c>
      <c r="I112" s="216">
        <v>2.5000000000000001E-2</v>
      </c>
      <c r="J112" s="193">
        <f t="shared" si="128"/>
        <v>9322375</v>
      </c>
      <c r="K112" s="195">
        <f t="shared" si="129"/>
        <v>29.395140186915889</v>
      </c>
      <c r="L112" s="199">
        <v>267348800</v>
      </c>
      <c r="M112" s="195">
        <f t="shared" si="131"/>
        <v>66.449952721275423</v>
      </c>
      <c r="N112" s="199">
        <v>604362320</v>
      </c>
      <c r="O112" s="199">
        <f t="shared" si="130"/>
        <v>871711120</v>
      </c>
      <c r="P112" s="141">
        <f t="shared" si="132"/>
        <v>245274128.44036695</v>
      </c>
      <c r="Q112" s="141">
        <f t="shared" si="133"/>
        <v>259990576.14678895</v>
      </c>
      <c r="R112" s="141">
        <f t="shared" si="134"/>
        <v>7358223.8532110453</v>
      </c>
      <c r="S112" s="141">
        <f t="shared" si="135"/>
        <v>554460844.03669715</v>
      </c>
      <c r="T112" s="141">
        <f t="shared" si="136"/>
        <v>587728494.67889893</v>
      </c>
      <c r="U112" s="141">
        <f t="shared" si="137"/>
        <v>16633825.321101069</v>
      </c>
      <c r="V112" s="142">
        <f t="shared" si="138"/>
        <v>23992049.174312115</v>
      </c>
    </row>
    <row r="113" spans="2:22" x14ac:dyDescent="0.2">
      <c r="B113" s="214" t="s">
        <v>271</v>
      </c>
      <c r="C113" s="152">
        <v>36</v>
      </c>
      <c r="D113" s="215">
        <v>8344000</v>
      </c>
      <c r="E113" s="216">
        <v>0.09</v>
      </c>
      <c r="F113" s="215">
        <f t="shared" si="124"/>
        <v>9095000</v>
      </c>
      <c r="G113" s="216">
        <v>0.02</v>
      </c>
      <c r="H113" s="193">
        <f t="shared" si="125"/>
        <v>9276900</v>
      </c>
      <c r="I113" s="216">
        <v>2.5000000000000001E-2</v>
      </c>
      <c r="J113" s="193">
        <f t="shared" si="128"/>
        <v>9322375</v>
      </c>
      <c r="K113" s="195">
        <f t="shared" si="129"/>
        <v>3.7234436503573392</v>
      </c>
      <c r="L113" s="199">
        <v>33864720</v>
      </c>
      <c r="M113" s="195">
        <f t="shared" si="131"/>
        <v>11.436982957669048</v>
      </c>
      <c r="N113" s="199">
        <v>104019360</v>
      </c>
      <c r="O113" s="199">
        <f t="shared" si="130"/>
        <v>137884080</v>
      </c>
      <c r="P113" s="141">
        <f t="shared" si="132"/>
        <v>31068550.458715595</v>
      </c>
      <c r="Q113" s="141">
        <f t="shared" si="133"/>
        <v>32932663.486238532</v>
      </c>
      <c r="R113" s="141">
        <f t="shared" si="134"/>
        <v>932056.51376146823</v>
      </c>
      <c r="S113" s="141">
        <f t="shared" si="135"/>
        <v>95430605.504587144</v>
      </c>
      <c r="T113" s="141">
        <f t="shared" si="136"/>
        <v>101156441.83486237</v>
      </c>
      <c r="U113" s="141">
        <f t="shared" si="137"/>
        <v>2862918.1651376337</v>
      </c>
      <c r="V113" s="142">
        <f t="shared" si="138"/>
        <v>3794974.6788991019</v>
      </c>
    </row>
    <row r="114" spans="2:22" x14ac:dyDescent="0.2">
      <c r="B114" s="214" t="s">
        <v>272</v>
      </c>
      <c r="C114" s="152">
        <v>45</v>
      </c>
      <c r="D114" s="215">
        <v>7960000</v>
      </c>
      <c r="E114" s="216">
        <v>0.09</v>
      </c>
      <c r="F114" s="215">
        <f t="shared" si="124"/>
        <v>8676000</v>
      </c>
      <c r="G114" s="216">
        <v>0.02</v>
      </c>
      <c r="H114" s="193">
        <f t="shared" si="125"/>
        <v>8849520</v>
      </c>
      <c r="I114" s="216">
        <v>2.5000000000000001E-2</v>
      </c>
      <c r="J114" s="193">
        <f t="shared" si="128"/>
        <v>8892900</v>
      </c>
      <c r="K114" s="195">
        <f t="shared" si="129"/>
        <v>27.872775472568005</v>
      </c>
      <c r="L114" s="199">
        <v>241824200</v>
      </c>
      <c r="M114" s="195">
        <f t="shared" si="131"/>
        <v>23.872591055786078</v>
      </c>
      <c r="N114" s="199">
        <v>207118600</v>
      </c>
      <c r="O114" s="199">
        <f t="shared" si="130"/>
        <v>448942800</v>
      </c>
      <c r="P114" s="141">
        <f t="shared" si="132"/>
        <v>221857064.22018346</v>
      </c>
      <c r="Q114" s="141">
        <f t="shared" si="133"/>
        <v>235168488.07339448</v>
      </c>
      <c r="R114" s="141">
        <f t="shared" si="134"/>
        <v>6655711.9266055226</v>
      </c>
      <c r="S114" s="141">
        <f t="shared" si="135"/>
        <v>190017064.22018346</v>
      </c>
      <c r="T114" s="141">
        <f t="shared" si="136"/>
        <v>201418088.07339448</v>
      </c>
      <c r="U114" s="141">
        <f t="shared" si="137"/>
        <v>5700511.9266055226</v>
      </c>
      <c r="V114" s="142">
        <f t="shared" si="138"/>
        <v>12356223.853211045</v>
      </c>
    </row>
    <row r="115" spans="2:22" x14ac:dyDescent="0.2">
      <c r="B115" s="214" t="s">
        <v>473</v>
      </c>
      <c r="C115" s="152">
        <v>54</v>
      </c>
      <c r="D115" s="215">
        <v>14251000</v>
      </c>
      <c r="E115" s="216">
        <v>0.09</v>
      </c>
      <c r="F115" s="215">
        <f t="shared" si="124"/>
        <v>15534000</v>
      </c>
      <c r="G115" s="219">
        <v>0.01</v>
      </c>
      <c r="H115" s="193">
        <f t="shared" si="125"/>
        <v>15689340</v>
      </c>
      <c r="I115" s="152"/>
      <c r="J115" s="141"/>
      <c r="K115" s="306">
        <f>(L115/((F115+F116+F117)/3))</f>
        <v>114.5504716082695</v>
      </c>
      <c r="L115" s="302">
        <v>1924524290</v>
      </c>
      <c r="M115" s="306">
        <f>(N115/((F115+F116+F117)/3))</f>
        <v>115.84633625649775</v>
      </c>
      <c r="N115" s="302">
        <v>1946295680</v>
      </c>
      <c r="O115" s="302">
        <f>L115+N115</f>
        <v>3870819970</v>
      </c>
      <c r="P115" s="302">
        <f>L115/(1+E115)</f>
        <v>1765618614.678899</v>
      </c>
      <c r="Q115" s="302">
        <f>(P115*$Q$11)+P115</f>
        <v>1871555731.559633</v>
      </c>
      <c r="R115" s="302">
        <f>L115-Q115</f>
        <v>52968558.440366983</v>
      </c>
      <c r="S115" s="302">
        <f>N115/(1+E115)</f>
        <v>1785592366.972477</v>
      </c>
      <c r="T115" s="302">
        <f>(S115*$T$11)+S115</f>
        <v>1892727908.9908257</v>
      </c>
      <c r="U115" s="302">
        <f>N115-T115</f>
        <v>53567771.009174347</v>
      </c>
      <c r="V115" s="300">
        <f>R115+U115</f>
        <v>106536329.44954133</v>
      </c>
    </row>
    <row r="116" spans="2:22" x14ac:dyDescent="0.2">
      <c r="B116" s="214" t="s">
        <v>474</v>
      </c>
      <c r="C116" s="152">
        <v>54</v>
      </c>
      <c r="D116" s="215">
        <v>15318000</v>
      </c>
      <c r="E116" s="216">
        <v>0.09</v>
      </c>
      <c r="F116" s="215">
        <f t="shared" si="124"/>
        <v>16697000</v>
      </c>
      <c r="G116" s="219">
        <v>0.01</v>
      </c>
      <c r="H116" s="193">
        <f t="shared" si="125"/>
        <v>16863970</v>
      </c>
      <c r="I116" s="152"/>
      <c r="J116" s="141"/>
      <c r="K116" s="306"/>
      <c r="L116" s="302"/>
      <c r="M116" s="306"/>
      <c r="N116" s="302"/>
      <c r="O116" s="302"/>
      <c r="P116" s="302"/>
      <c r="Q116" s="302"/>
      <c r="R116" s="302"/>
      <c r="S116" s="302"/>
      <c r="T116" s="302"/>
      <c r="U116" s="302"/>
      <c r="V116" s="300"/>
    </row>
    <row r="117" spans="2:22" x14ac:dyDescent="0.2">
      <c r="B117" s="214" t="s">
        <v>475</v>
      </c>
      <c r="C117" s="152">
        <v>54</v>
      </c>
      <c r="D117" s="215">
        <v>16671000</v>
      </c>
      <c r="E117" s="216">
        <v>0.09</v>
      </c>
      <c r="F117" s="215">
        <f>+ROUND((D117*E117)+D117,-3)</f>
        <v>18171000</v>
      </c>
      <c r="G117" s="219">
        <v>0.01</v>
      </c>
      <c r="H117" s="193">
        <f t="shared" si="125"/>
        <v>18352710</v>
      </c>
      <c r="I117" s="152"/>
      <c r="J117" s="141"/>
      <c r="K117" s="306"/>
      <c r="L117" s="302"/>
      <c r="M117" s="306"/>
      <c r="N117" s="302"/>
      <c r="O117" s="302"/>
      <c r="P117" s="302"/>
      <c r="Q117" s="302"/>
      <c r="R117" s="302"/>
      <c r="S117" s="302"/>
      <c r="T117" s="302"/>
      <c r="U117" s="302"/>
      <c r="V117" s="300"/>
    </row>
    <row r="118" spans="2:22" x14ac:dyDescent="0.2">
      <c r="B118" s="214" t="s">
        <v>264</v>
      </c>
      <c r="C118" s="152">
        <v>55</v>
      </c>
      <c r="D118" s="215">
        <v>10146000</v>
      </c>
      <c r="E118" s="216">
        <v>0.09</v>
      </c>
      <c r="F118" s="215">
        <f t="shared" si="124"/>
        <v>11059000</v>
      </c>
      <c r="G118" s="216">
        <v>0.02</v>
      </c>
      <c r="H118" s="193">
        <f t="shared" si="125"/>
        <v>11280180</v>
      </c>
      <c r="I118" s="216">
        <v>2.5000000000000001E-2</v>
      </c>
      <c r="J118" s="193">
        <f>+(F118*I118)+F118</f>
        <v>11335475</v>
      </c>
      <c r="K118" s="195">
        <f t="shared" ref="K118:K119" si="139">+L118/F118</f>
        <v>19.457708653585314</v>
      </c>
      <c r="L118" s="199">
        <v>215182800</v>
      </c>
      <c r="M118" s="195">
        <f t="shared" ref="M118:M119" si="140">+N118/F118</f>
        <v>19.457708653585314</v>
      </c>
      <c r="N118" s="199">
        <v>215182800</v>
      </c>
      <c r="O118" s="199">
        <f t="shared" ref="O118:O119" si="141">L118+N118</f>
        <v>430365600</v>
      </c>
      <c r="P118" s="141">
        <f>L118/(1+E118)</f>
        <v>197415412.84403667</v>
      </c>
      <c r="Q118" s="141">
        <f>(P118*$Q$11)+P118</f>
        <v>209260337.61467886</v>
      </c>
      <c r="R118" s="141">
        <f>L118-Q118</f>
        <v>5922462.3853211403</v>
      </c>
      <c r="S118" s="141">
        <f>N118/(1+E118)</f>
        <v>197415412.84403667</v>
      </c>
      <c r="T118" s="141">
        <f>(S118*$T$11)+S118</f>
        <v>209260337.61467886</v>
      </c>
      <c r="U118" s="141">
        <f>N118-T118</f>
        <v>5922462.3853211403</v>
      </c>
      <c r="V118" s="142">
        <f>R118+U118</f>
        <v>11844924.770642281</v>
      </c>
    </row>
    <row r="119" spans="2:22" x14ac:dyDescent="0.2">
      <c r="B119" s="214" t="s">
        <v>476</v>
      </c>
      <c r="C119" s="152">
        <v>54</v>
      </c>
      <c r="D119" s="215"/>
      <c r="E119" s="216"/>
      <c r="F119" s="215">
        <v>35000000</v>
      </c>
      <c r="G119" s="219">
        <v>0.01</v>
      </c>
      <c r="H119" s="193">
        <f t="shared" si="125"/>
        <v>35350000</v>
      </c>
      <c r="I119" s="152"/>
      <c r="J119" s="141"/>
      <c r="K119" s="195">
        <f t="shared" si="139"/>
        <v>10.8</v>
      </c>
      <c r="L119" s="199">
        <v>378000000</v>
      </c>
      <c r="M119" s="195">
        <f t="shared" si="140"/>
        <v>9.8000000000000007</v>
      </c>
      <c r="N119" s="199">
        <v>343000000</v>
      </c>
      <c r="O119" s="199">
        <f t="shared" si="141"/>
        <v>721000000</v>
      </c>
      <c r="P119" s="141">
        <f>L119/(1+E119)</f>
        <v>378000000</v>
      </c>
      <c r="Q119" s="141">
        <f>(P119*$Q$11)+P119</f>
        <v>400680000</v>
      </c>
      <c r="R119" s="141">
        <f>L119-Q119</f>
        <v>-22680000</v>
      </c>
      <c r="S119" s="141">
        <f>N119/(1+E119)</f>
        <v>343000000</v>
      </c>
      <c r="T119" s="141">
        <f>(S119*$T$11)+S119</f>
        <v>363580000</v>
      </c>
      <c r="U119" s="141">
        <f>N119-T119</f>
        <v>-20580000</v>
      </c>
      <c r="V119" s="142">
        <f>R119+U119</f>
        <v>-43260000</v>
      </c>
    </row>
    <row r="120" spans="2:22" x14ac:dyDescent="0.2">
      <c r="B120" s="214" t="s">
        <v>477</v>
      </c>
      <c r="C120" s="152">
        <v>40</v>
      </c>
      <c r="D120" s="215">
        <v>10038000</v>
      </c>
      <c r="E120" s="216">
        <v>0.09</v>
      </c>
      <c r="F120" s="215">
        <f>+ROUND((D120*E120)+D120,-3)</f>
        <v>10941000</v>
      </c>
      <c r="G120" s="216">
        <v>0.02</v>
      </c>
      <c r="H120" s="193">
        <f t="shared" si="125"/>
        <v>11159820</v>
      </c>
      <c r="I120" s="216">
        <v>2.5000000000000001E-2</v>
      </c>
      <c r="J120" s="193">
        <f>+(F120*I120)+F120</f>
        <v>11214525</v>
      </c>
      <c r="K120" s="306">
        <f>(L120/((F120+F121)/2))</f>
        <v>25.915836834259384</v>
      </c>
      <c r="L120" s="303">
        <v>286849440</v>
      </c>
      <c r="M120" s="307">
        <f>N120/((F120+F121)/2)</f>
        <v>22.357638343045579</v>
      </c>
      <c r="N120" s="303">
        <v>247465520</v>
      </c>
      <c r="O120" s="303">
        <f>L120+N120</f>
        <v>534314960</v>
      </c>
      <c r="P120" s="303">
        <f>L120/(1+E120)</f>
        <v>263164623.85321099</v>
      </c>
      <c r="Q120" s="303">
        <f>(P120*$Q$11)+P120</f>
        <v>278954501.28440362</v>
      </c>
      <c r="R120" s="303">
        <f>L120-Q120</f>
        <v>7894938.7155963778</v>
      </c>
      <c r="S120" s="303">
        <f>N120/(1+E120)</f>
        <v>227032587.15596327</v>
      </c>
      <c r="T120" s="303">
        <f>(S120*$T$11)+S120</f>
        <v>240654542.38532108</v>
      </c>
      <c r="U120" s="303">
        <f>N120-T120</f>
        <v>6810977.6146789193</v>
      </c>
      <c r="V120" s="301">
        <f>R120+U120</f>
        <v>14705916.330275297</v>
      </c>
    </row>
    <row r="121" spans="2:22" x14ac:dyDescent="0.2">
      <c r="B121" s="214" t="s">
        <v>478</v>
      </c>
      <c r="C121" s="152">
        <v>40</v>
      </c>
      <c r="D121" s="215">
        <v>10272000</v>
      </c>
      <c r="E121" s="216">
        <v>0.09</v>
      </c>
      <c r="F121" s="215">
        <f>+ROUND((D121*E121)+D121,-3)</f>
        <v>11196000</v>
      </c>
      <c r="G121" s="216">
        <v>0.02</v>
      </c>
      <c r="H121" s="193">
        <f t="shared" si="125"/>
        <v>11419920</v>
      </c>
      <c r="I121" s="216">
        <v>2.5000000000000001E-2</v>
      </c>
      <c r="J121" s="193">
        <f>+(F121*I121)+F121</f>
        <v>11475900</v>
      </c>
      <c r="K121" s="306"/>
      <c r="L121" s="303"/>
      <c r="M121" s="307"/>
      <c r="N121" s="303"/>
      <c r="O121" s="303"/>
      <c r="P121" s="303"/>
      <c r="Q121" s="303"/>
      <c r="R121" s="303"/>
      <c r="S121" s="303"/>
      <c r="T121" s="303"/>
      <c r="U121" s="303"/>
      <c r="V121" s="301"/>
    </row>
    <row r="122" spans="2:22" x14ac:dyDescent="0.2">
      <c r="B122" s="214" t="s">
        <v>479</v>
      </c>
      <c r="C122" s="152">
        <v>57</v>
      </c>
      <c r="D122" s="215">
        <v>0</v>
      </c>
      <c r="E122" s="216">
        <v>0.09</v>
      </c>
      <c r="F122" s="215">
        <v>11000000</v>
      </c>
      <c r="G122" s="216">
        <v>0.02</v>
      </c>
      <c r="H122" s="193">
        <f t="shared" si="125"/>
        <v>11220000</v>
      </c>
      <c r="I122" s="216">
        <v>2.5000000000000001E-2</v>
      </c>
      <c r="J122" s="193">
        <f>+(F122*I122)+F122</f>
        <v>11275000</v>
      </c>
      <c r="K122" s="195">
        <f t="shared" ref="K122:K123" si="142">+L122/F122</f>
        <v>27.590908760000001</v>
      </c>
      <c r="L122" s="199">
        <v>303499996.36000001</v>
      </c>
      <c r="M122" s="195">
        <f t="shared" ref="M122:M123" si="143">+N122/F122</f>
        <v>25.681817874545455</v>
      </c>
      <c r="N122" s="199">
        <v>282499996.62</v>
      </c>
      <c r="O122" s="199">
        <f t="shared" ref="O122:O123" si="144">L122+N122</f>
        <v>585999992.98000002</v>
      </c>
      <c r="P122" s="141">
        <f>L122/(1+E122)</f>
        <v>278440363.63302749</v>
      </c>
      <c r="Q122" s="141">
        <f>(P122*$Q$11)+P122</f>
        <v>295146785.45100915</v>
      </c>
      <c r="R122" s="141">
        <f>L122-Q122</f>
        <v>8353210.90899086</v>
      </c>
      <c r="S122" s="141">
        <f>N122/(1+E122)</f>
        <v>259174308.82568806</v>
      </c>
      <c r="T122" s="141">
        <f>(S122*$T$11)+S122</f>
        <v>274724767.35522938</v>
      </c>
      <c r="U122" s="141">
        <f>N122-T122</f>
        <v>7775229.264770627</v>
      </c>
      <c r="V122" s="142">
        <f>R122+U122</f>
        <v>16128440.173761487</v>
      </c>
    </row>
    <row r="123" spans="2:22" x14ac:dyDescent="0.2">
      <c r="B123" s="214" t="s">
        <v>480</v>
      </c>
      <c r="C123" s="152">
        <v>49</v>
      </c>
      <c r="D123" s="215">
        <v>11500000</v>
      </c>
      <c r="E123" s="216">
        <v>0</v>
      </c>
      <c r="F123" s="215">
        <f>+ROUND((D123*E123)+D123,-3)</f>
        <v>11500000</v>
      </c>
      <c r="G123" s="216">
        <v>0.02</v>
      </c>
      <c r="H123" s="193">
        <f t="shared" si="125"/>
        <v>11730000</v>
      </c>
      <c r="I123" s="216">
        <v>2.5000000000000001E-2</v>
      </c>
      <c r="J123" s="193">
        <f>+(F123*I123)+F123</f>
        <v>11787500</v>
      </c>
      <c r="K123" s="195">
        <f t="shared" si="142"/>
        <v>16.565217391304348</v>
      </c>
      <c r="L123" s="199">
        <v>190500000</v>
      </c>
      <c r="M123" s="195">
        <f t="shared" si="143"/>
        <v>25.565217391304348</v>
      </c>
      <c r="N123" s="199">
        <v>294000000</v>
      </c>
      <c r="O123" s="199">
        <f t="shared" si="144"/>
        <v>484500000</v>
      </c>
      <c r="P123" s="141">
        <f>L123/(1+E123)</f>
        <v>190500000</v>
      </c>
      <c r="Q123" s="141">
        <f t="shared" ref="Q123:Q186" si="145">(P123*$Q$11)+P123</f>
        <v>201930000</v>
      </c>
      <c r="R123" s="141">
        <f t="shared" ref="R123:R186" si="146">L123-Q123</f>
        <v>-11430000</v>
      </c>
      <c r="S123" s="141">
        <f t="shared" ref="S123:S186" si="147">N123/(1+E123)</f>
        <v>294000000</v>
      </c>
      <c r="T123" s="141">
        <f t="shared" ref="T123:T187" si="148">(S123*$T$11)+S123</f>
        <v>311640000</v>
      </c>
      <c r="U123" s="141">
        <f t="shared" ref="U123:U186" si="149">N123-T123</f>
        <v>-17640000</v>
      </c>
      <c r="V123" s="142">
        <f t="shared" ref="V123:V186" si="150">R123+U123</f>
        <v>-29070000</v>
      </c>
    </row>
    <row r="124" spans="2:22" x14ac:dyDescent="0.2">
      <c r="B124" s="217" t="s">
        <v>537</v>
      </c>
      <c r="C124" s="152"/>
      <c r="D124" s="215"/>
      <c r="E124" s="216"/>
      <c r="F124" s="215"/>
      <c r="G124" s="152"/>
      <c r="H124" s="141"/>
      <c r="I124" s="152"/>
      <c r="J124" s="141"/>
      <c r="K124" s="218"/>
      <c r="L124" s="141"/>
      <c r="M124" s="218"/>
      <c r="N124" s="141"/>
      <c r="O124" s="141"/>
      <c r="P124" s="141"/>
      <c r="Q124" s="141"/>
      <c r="R124" s="141"/>
      <c r="S124" s="141"/>
      <c r="T124" s="141"/>
      <c r="U124" s="141"/>
      <c r="V124" s="142"/>
    </row>
    <row r="125" spans="2:22" x14ac:dyDescent="0.2">
      <c r="B125" s="214" t="s">
        <v>279</v>
      </c>
      <c r="C125" s="152">
        <v>108</v>
      </c>
      <c r="D125" s="215">
        <v>13214000</v>
      </c>
      <c r="E125" s="216">
        <v>0.09</v>
      </c>
      <c r="F125" s="215">
        <f>+ROUND((D125*E125)+D125,-3)</f>
        <v>14403000</v>
      </c>
      <c r="G125" s="216">
        <v>0.02</v>
      </c>
      <c r="H125" s="193">
        <f>+(F125*G125)+F125</f>
        <v>14691060</v>
      </c>
      <c r="I125" s="216">
        <v>2.5000000000000001E-2</v>
      </c>
      <c r="J125" s="193">
        <f>+(F125*I125)+F125</f>
        <v>14763075</v>
      </c>
      <c r="K125" s="195">
        <f t="shared" ref="K125:K129" si="151">+L125/F125</f>
        <v>9.4380240227730354</v>
      </c>
      <c r="L125" s="199">
        <v>135935860.00000003</v>
      </c>
      <c r="M125" s="195">
        <f t="shared" ref="M125:M155" si="152">+N125/F125</f>
        <v>9.2644490731097715</v>
      </c>
      <c r="N125" s="199">
        <v>133435860.00000003</v>
      </c>
      <c r="O125" s="199">
        <f t="shared" ref="O125:O129" si="153">L125+N125</f>
        <v>269371720.00000006</v>
      </c>
      <c r="P125" s="141">
        <f t="shared" ref="P125:P187" si="154">L125/(1+E125)</f>
        <v>124711798.16513763</v>
      </c>
      <c r="Q125" s="141">
        <f t="shared" si="145"/>
        <v>132194506.05504589</v>
      </c>
      <c r="R125" s="141">
        <f t="shared" si="146"/>
        <v>3741353.944954142</v>
      </c>
      <c r="S125" s="141">
        <f t="shared" si="147"/>
        <v>122418220.18348625</v>
      </c>
      <c r="T125" s="141">
        <f t="shared" si="148"/>
        <v>129763313.39449543</v>
      </c>
      <c r="U125" s="141">
        <f t="shared" si="149"/>
        <v>3672546.6055046022</v>
      </c>
      <c r="V125" s="142">
        <f t="shared" si="150"/>
        <v>7413900.5504587442</v>
      </c>
    </row>
    <row r="126" spans="2:22" x14ac:dyDescent="0.2">
      <c r="B126" s="214" t="s">
        <v>280</v>
      </c>
      <c r="C126" s="152">
        <v>23</v>
      </c>
      <c r="D126" s="215">
        <v>5963000</v>
      </c>
      <c r="E126" s="216">
        <v>0.09</v>
      </c>
      <c r="F126" s="215">
        <f>+ROUND((D126*E126)+D126,-3)</f>
        <v>6500000</v>
      </c>
      <c r="G126" s="216">
        <v>0.02</v>
      </c>
      <c r="H126" s="193">
        <f>+(F126*G126)+F126</f>
        <v>6630000</v>
      </c>
      <c r="I126" s="216">
        <v>2.5000000000000001E-2</v>
      </c>
      <c r="J126" s="193">
        <f>+(F126*I126)+F126</f>
        <v>6662500</v>
      </c>
      <c r="K126" s="195">
        <f t="shared" si="151"/>
        <v>0</v>
      </c>
      <c r="L126" s="141">
        <v>0</v>
      </c>
      <c r="M126" s="195">
        <f t="shared" si="152"/>
        <v>11.999390769230772</v>
      </c>
      <c r="N126" s="199">
        <v>77996040.000000015</v>
      </c>
      <c r="O126" s="199">
        <f t="shared" si="153"/>
        <v>77996040.000000015</v>
      </c>
      <c r="P126" s="141">
        <f t="shared" si="154"/>
        <v>0</v>
      </c>
      <c r="Q126" s="141">
        <f t="shared" si="145"/>
        <v>0</v>
      </c>
      <c r="R126" s="141"/>
      <c r="S126" s="141">
        <f t="shared" si="147"/>
        <v>71556000.000000015</v>
      </c>
      <c r="T126" s="141">
        <f t="shared" si="148"/>
        <v>75849360.000000015</v>
      </c>
      <c r="U126" s="141">
        <f t="shared" si="149"/>
        <v>2146680</v>
      </c>
      <c r="V126" s="142">
        <f t="shared" si="150"/>
        <v>2146680</v>
      </c>
    </row>
    <row r="127" spans="2:22" x14ac:dyDescent="0.2">
      <c r="B127" s="214" t="s">
        <v>281</v>
      </c>
      <c r="C127" s="152">
        <v>50</v>
      </c>
      <c r="D127" s="215">
        <v>8673000</v>
      </c>
      <c r="E127" s="216">
        <v>0.09</v>
      </c>
      <c r="F127" s="215">
        <f>+ROUND((D127*E127)+D127,-3)</f>
        <v>9454000</v>
      </c>
      <c r="G127" s="219">
        <v>0.01</v>
      </c>
      <c r="H127" s="193">
        <f>+(F127*G127)+F127</f>
        <v>9548540</v>
      </c>
      <c r="I127" s="152"/>
      <c r="J127" s="141"/>
      <c r="K127" s="195">
        <f t="shared" si="151"/>
        <v>50.231186799238415</v>
      </c>
      <c r="L127" s="199">
        <v>474885640</v>
      </c>
      <c r="M127" s="195">
        <f t="shared" si="152"/>
        <v>50.146566532684581</v>
      </c>
      <c r="N127" s="199">
        <v>474085640</v>
      </c>
      <c r="O127" s="199">
        <f t="shared" si="153"/>
        <v>948971280</v>
      </c>
      <c r="P127" s="141">
        <f t="shared" si="154"/>
        <v>435674899.08256876</v>
      </c>
      <c r="Q127" s="141">
        <f t="shared" si="145"/>
        <v>461815393.02752286</v>
      </c>
      <c r="R127" s="141">
        <f t="shared" si="146"/>
        <v>13070246.972477138</v>
      </c>
      <c r="S127" s="141">
        <f t="shared" si="147"/>
        <v>434940954.12844032</v>
      </c>
      <c r="T127" s="141">
        <f t="shared" si="148"/>
        <v>461037411.37614673</v>
      </c>
      <c r="U127" s="141">
        <f t="shared" si="149"/>
        <v>13048228.623853266</v>
      </c>
      <c r="V127" s="142">
        <f t="shared" si="150"/>
        <v>26118475.596330404</v>
      </c>
    </row>
    <row r="128" spans="2:22" x14ac:dyDescent="0.2">
      <c r="B128" s="214" t="s">
        <v>278</v>
      </c>
      <c r="C128" s="152">
        <v>47</v>
      </c>
      <c r="D128" s="215">
        <v>8673000</v>
      </c>
      <c r="E128" s="216">
        <v>0.09</v>
      </c>
      <c r="F128" s="215">
        <f>+ROUND((D128*E128)+D128,-3)</f>
        <v>9454000</v>
      </c>
      <c r="G128" s="219">
        <v>0.01</v>
      </c>
      <c r="H128" s="193">
        <f>+(F128*G128)+F128</f>
        <v>9548540</v>
      </c>
      <c r="I128" s="152"/>
      <c r="J128" s="141"/>
      <c r="K128" s="195">
        <f t="shared" si="151"/>
        <v>66.579517664480647</v>
      </c>
      <c r="L128" s="199">
        <v>629442760</v>
      </c>
      <c r="M128" s="195">
        <f t="shared" si="152"/>
        <v>59.247021366617304</v>
      </c>
      <c r="N128" s="199">
        <v>560121340</v>
      </c>
      <c r="O128" s="199">
        <f t="shared" si="153"/>
        <v>1189564100</v>
      </c>
      <c r="P128" s="141">
        <f t="shared" si="154"/>
        <v>577470422.01834857</v>
      </c>
      <c r="Q128" s="141">
        <f t="shared" si="145"/>
        <v>612118647.33944952</v>
      </c>
      <c r="R128" s="141">
        <f t="shared" si="146"/>
        <v>17324112.660550475</v>
      </c>
      <c r="S128" s="141">
        <f t="shared" si="147"/>
        <v>513872788.99082565</v>
      </c>
      <c r="T128" s="141">
        <f t="shared" si="148"/>
        <v>544705156.33027518</v>
      </c>
      <c r="U128" s="141">
        <f t="shared" si="149"/>
        <v>15416183.669724822</v>
      </c>
      <c r="V128" s="142">
        <f t="shared" si="150"/>
        <v>32740296.330275297</v>
      </c>
    </row>
    <row r="129" spans="2:22" x14ac:dyDescent="0.2">
      <c r="B129" s="214" t="s">
        <v>277</v>
      </c>
      <c r="C129" s="152">
        <v>48</v>
      </c>
      <c r="D129" s="215">
        <v>9126000</v>
      </c>
      <c r="E129" s="216">
        <v>0.09</v>
      </c>
      <c r="F129" s="215">
        <f>+ROUND((D129*E129)+D129,-3)</f>
        <v>9947000</v>
      </c>
      <c r="G129" s="216">
        <v>0.02</v>
      </c>
      <c r="H129" s="193">
        <f>+(F129*G129)+F129</f>
        <v>10145940</v>
      </c>
      <c r="I129" s="216">
        <v>2.5000000000000001E-2</v>
      </c>
      <c r="J129" s="193">
        <f>+(F129*I129)+F129</f>
        <v>10195675</v>
      </c>
      <c r="K129" s="195">
        <f t="shared" si="151"/>
        <v>63.805881170202071</v>
      </c>
      <c r="L129" s="199">
        <v>634677100</v>
      </c>
      <c r="M129" s="195">
        <f t="shared" si="152"/>
        <v>59.002016688448776</v>
      </c>
      <c r="N129" s="199">
        <v>586893060</v>
      </c>
      <c r="O129" s="199">
        <f t="shared" si="153"/>
        <v>1221570160</v>
      </c>
      <c r="P129" s="141">
        <f t="shared" si="154"/>
        <v>582272568.80733943</v>
      </c>
      <c r="Q129" s="141">
        <f t="shared" si="145"/>
        <v>617208922.93577981</v>
      </c>
      <c r="R129" s="141">
        <f t="shared" si="146"/>
        <v>17468177.06422019</v>
      </c>
      <c r="S129" s="141">
        <f t="shared" si="147"/>
        <v>538434000</v>
      </c>
      <c r="T129" s="141">
        <f t="shared" si="148"/>
        <v>570740040</v>
      </c>
      <c r="U129" s="141">
        <f t="shared" si="149"/>
        <v>16153020</v>
      </c>
      <c r="V129" s="142">
        <f t="shared" si="150"/>
        <v>33621197.06422019</v>
      </c>
    </row>
    <row r="130" spans="2:22" x14ac:dyDescent="0.2">
      <c r="B130" s="217" t="s">
        <v>526</v>
      </c>
      <c r="C130" s="152"/>
      <c r="D130" s="215"/>
      <c r="E130" s="216"/>
      <c r="F130" s="215"/>
      <c r="G130" s="152"/>
      <c r="H130" s="141"/>
      <c r="I130" s="152"/>
      <c r="J130" s="141"/>
      <c r="K130" s="218"/>
      <c r="L130" s="141"/>
      <c r="M130" s="218"/>
      <c r="N130" s="141"/>
      <c r="O130" s="141"/>
      <c r="P130" s="141"/>
      <c r="Q130" s="141"/>
      <c r="R130" s="141"/>
      <c r="S130" s="141"/>
      <c r="T130" s="141"/>
      <c r="U130" s="141"/>
      <c r="V130" s="142"/>
    </row>
    <row r="131" spans="2:22" x14ac:dyDescent="0.2">
      <c r="B131" s="214" t="s">
        <v>284</v>
      </c>
      <c r="C131" s="152">
        <v>30</v>
      </c>
      <c r="D131" s="215">
        <v>10507000</v>
      </c>
      <c r="E131" s="216">
        <v>0.09</v>
      </c>
      <c r="F131" s="215">
        <f>+ROUND((D131*E131)+D131,-3)</f>
        <v>11453000</v>
      </c>
      <c r="G131" s="216">
        <v>0.02</v>
      </c>
      <c r="H131" s="193">
        <f>+(F131*G131)+F131</f>
        <v>11682060</v>
      </c>
      <c r="I131" s="216">
        <v>2.5000000000000001E-2</v>
      </c>
      <c r="J131" s="193">
        <f>+(F131*I131)+F131</f>
        <v>11739325</v>
      </c>
      <c r="K131" s="195">
        <f t="shared" ref="K131:K135" si="155">+L131/F131</f>
        <v>27.599108355889285</v>
      </c>
      <c r="L131" s="199">
        <v>316092588</v>
      </c>
      <c r="M131" s="195">
        <f t="shared" si="152"/>
        <v>27.599108355889285</v>
      </c>
      <c r="N131" s="199">
        <v>316092588</v>
      </c>
      <c r="O131" s="199">
        <f t="shared" ref="O131:O135" si="156">L131+N131</f>
        <v>632185176</v>
      </c>
      <c r="P131" s="141">
        <f t="shared" si="154"/>
        <v>289993200</v>
      </c>
      <c r="Q131" s="141">
        <f t="shared" si="145"/>
        <v>307392792</v>
      </c>
      <c r="R131" s="141">
        <f t="shared" si="146"/>
        <v>8699796</v>
      </c>
      <c r="S131" s="141">
        <f t="shared" si="147"/>
        <v>289993200</v>
      </c>
      <c r="T131" s="141">
        <f t="shared" si="148"/>
        <v>307392792</v>
      </c>
      <c r="U131" s="141">
        <f t="shared" si="149"/>
        <v>8699796</v>
      </c>
      <c r="V131" s="142">
        <f t="shared" si="150"/>
        <v>17399592</v>
      </c>
    </row>
    <row r="132" spans="2:22" x14ac:dyDescent="0.2">
      <c r="B132" s="214" t="s">
        <v>283</v>
      </c>
      <c r="C132" s="152">
        <v>30</v>
      </c>
      <c r="D132" s="215">
        <v>10510000</v>
      </c>
      <c r="E132" s="216">
        <v>0.09</v>
      </c>
      <c r="F132" s="215">
        <f>+ROUND((D132*E132)+D132,-3)</f>
        <v>11456000</v>
      </c>
      <c r="G132" s="216">
        <v>0.02</v>
      </c>
      <c r="H132" s="193">
        <f>+(F132*G132)+F132</f>
        <v>11685120</v>
      </c>
      <c r="I132" s="216">
        <v>2.5000000000000001E-2</v>
      </c>
      <c r="J132" s="193">
        <f>+(F132*I132)+F132</f>
        <v>11742400</v>
      </c>
      <c r="K132" s="195">
        <f t="shared" si="155"/>
        <v>14.999869064245811</v>
      </c>
      <c r="L132" s="199">
        <v>171838500</v>
      </c>
      <c r="M132" s="195">
        <f t="shared" si="152"/>
        <v>14.999869064245811</v>
      </c>
      <c r="N132" s="199">
        <v>171838500</v>
      </c>
      <c r="O132" s="199">
        <f t="shared" si="156"/>
        <v>343677000</v>
      </c>
      <c r="P132" s="141">
        <f t="shared" si="154"/>
        <v>157650000</v>
      </c>
      <c r="Q132" s="141">
        <f t="shared" si="145"/>
        <v>167109000</v>
      </c>
      <c r="R132" s="141">
        <f t="shared" si="146"/>
        <v>4729500</v>
      </c>
      <c r="S132" s="141">
        <f t="shared" si="147"/>
        <v>157650000</v>
      </c>
      <c r="T132" s="141">
        <f t="shared" si="148"/>
        <v>167109000</v>
      </c>
      <c r="U132" s="141">
        <f t="shared" si="149"/>
        <v>4729500</v>
      </c>
      <c r="V132" s="142">
        <f t="shared" si="150"/>
        <v>9459000</v>
      </c>
    </row>
    <row r="133" spans="2:22" x14ac:dyDescent="0.2">
      <c r="B133" s="214" t="s">
        <v>481</v>
      </c>
      <c r="C133" s="152">
        <v>45</v>
      </c>
      <c r="D133" s="215">
        <v>5800000</v>
      </c>
      <c r="E133" s="216">
        <v>0.09</v>
      </c>
      <c r="F133" s="215">
        <f>+ROUND((D133*E133)+D133,-3)</f>
        <v>6322000</v>
      </c>
      <c r="G133" s="216">
        <v>0.02</v>
      </c>
      <c r="H133" s="193">
        <f>+(F133*G133)+F133</f>
        <v>6448440</v>
      </c>
      <c r="I133" s="216">
        <v>2.5000000000000001E-2</v>
      </c>
      <c r="J133" s="193">
        <f>+(F133*I133)+F133</f>
        <v>6480050</v>
      </c>
      <c r="K133" s="195">
        <f t="shared" si="155"/>
        <v>34.299999841822206</v>
      </c>
      <c r="L133" s="199">
        <v>216844599</v>
      </c>
      <c r="M133" s="195">
        <f t="shared" si="152"/>
        <v>33.399999841822208</v>
      </c>
      <c r="N133" s="199">
        <v>211154799</v>
      </c>
      <c r="O133" s="199">
        <f t="shared" si="156"/>
        <v>427999398</v>
      </c>
      <c r="P133" s="141">
        <f t="shared" si="154"/>
        <v>198939999.08256879</v>
      </c>
      <c r="Q133" s="141">
        <f t="shared" si="145"/>
        <v>210876399.02752292</v>
      </c>
      <c r="R133" s="141">
        <f t="shared" si="146"/>
        <v>5968199.9724770784</v>
      </c>
      <c r="S133" s="141">
        <f t="shared" si="147"/>
        <v>193719999.08256879</v>
      </c>
      <c r="T133" s="141">
        <f t="shared" si="148"/>
        <v>205343199.02752292</v>
      </c>
      <c r="U133" s="141">
        <f t="shared" si="149"/>
        <v>5811599.9724770784</v>
      </c>
      <c r="V133" s="142">
        <f t="shared" si="150"/>
        <v>11779799.944954157</v>
      </c>
    </row>
    <row r="134" spans="2:22" x14ac:dyDescent="0.2">
      <c r="B134" s="214" t="s">
        <v>282</v>
      </c>
      <c r="C134" s="152">
        <v>43</v>
      </c>
      <c r="D134" s="215">
        <v>8803000</v>
      </c>
      <c r="E134" s="216">
        <v>0.09</v>
      </c>
      <c r="F134" s="215">
        <f>+ROUND((D134*E134)+D134,-3)</f>
        <v>9595000</v>
      </c>
      <c r="G134" s="216">
        <v>0.02</v>
      </c>
      <c r="H134" s="193">
        <f>+(F134*G134)+F134</f>
        <v>9786900</v>
      </c>
      <c r="I134" s="216">
        <v>2.5000000000000001E-2</v>
      </c>
      <c r="J134" s="193">
        <f>+(F134*I134)+F134</f>
        <v>9834875</v>
      </c>
      <c r="K134" s="195">
        <f t="shared" si="155"/>
        <v>19.000534653465348</v>
      </c>
      <c r="L134" s="199">
        <v>182310130</v>
      </c>
      <c r="M134" s="195">
        <f t="shared" si="152"/>
        <v>19.000534653465348</v>
      </c>
      <c r="N134" s="199">
        <v>182310130</v>
      </c>
      <c r="O134" s="199">
        <f t="shared" si="156"/>
        <v>364620260</v>
      </c>
      <c r="P134" s="141">
        <f t="shared" si="154"/>
        <v>167257000</v>
      </c>
      <c r="Q134" s="141">
        <f t="shared" si="145"/>
        <v>177292420</v>
      </c>
      <c r="R134" s="141">
        <f t="shared" si="146"/>
        <v>5017710</v>
      </c>
      <c r="S134" s="141">
        <f t="shared" si="147"/>
        <v>167257000</v>
      </c>
      <c r="T134" s="141">
        <f t="shared" si="148"/>
        <v>177292420</v>
      </c>
      <c r="U134" s="141">
        <f t="shared" si="149"/>
        <v>5017710</v>
      </c>
      <c r="V134" s="142">
        <f t="shared" si="150"/>
        <v>10035420</v>
      </c>
    </row>
    <row r="135" spans="2:22" x14ac:dyDescent="0.2">
      <c r="B135" s="214" t="s">
        <v>285</v>
      </c>
      <c r="C135" s="152">
        <v>47</v>
      </c>
      <c r="D135" s="215">
        <v>6784000</v>
      </c>
      <c r="E135" s="216">
        <v>0.09</v>
      </c>
      <c r="F135" s="215">
        <f>+ROUND((D135*E135)+D135,-3)</f>
        <v>7395000</v>
      </c>
      <c r="G135" s="216">
        <v>0.02</v>
      </c>
      <c r="H135" s="193">
        <f>+(F135*G135)+F135</f>
        <v>7542900</v>
      </c>
      <c r="I135" s="216">
        <v>2.5000000000000001E-2</v>
      </c>
      <c r="J135" s="193">
        <f>+(F135*I135)+F135</f>
        <v>7579875</v>
      </c>
      <c r="K135" s="195">
        <f t="shared" si="155"/>
        <v>59.396465720081153</v>
      </c>
      <c r="L135" s="199">
        <v>439236864.00000012</v>
      </c>
      <c r="M135" s="195">
        <f t="shared" si="152"/>
        <v>59.396465720081153</v>
      </c>
      <c r="N135" s="199">
        <v>439236864.00000012</v>
      </c>
      <c r="O135" s="199">
        <f t="shared" si="156"/>
        <v>878473728.00000024</v>
      </c>
      <c r="P135" s="141">
        <f t="shared" si="154"/>
        <v>402969600.00000006</v>
      </c>
      <c r="Q135" s="141">
        <f t="shared" si="145"/>
        <v>427147776.00000006</v>
      </c>
      <c r="R135" s="141">
        <f t="shared" si="146"/>
        <v>12089088.00000006</v>
      </c>
      <c r="S135" s="141">
        <f t="shared" si="147"/>
        <v>402969600.00000006</v>
      </c>
      <c r="T135" s="141">
        <f t="shared" si="148"/>
        <v>427147776.00000006</v>
      </c>
      <c r="U135" s="141">
        <f t="shared" si="149"/>
        <v>12089088.00000006</v>
      </c>
      <c r="V135" s="142">
        <f t="shared" si="150"/>
        <v>24178176.000000119</v>
      </c>
    </row>
    <row r="136" spans="2:22" x14ac:dyDescent="0.2">
      <c r="B136" s="217" t="s">
        <v>544</v>
      </c>
      <c r="C136" s="152"/>
      <c r="D136" s="215"/>
      <c r="E136" s="216"/>
      <c r="F136" s="215"/>
      <c r="G136" s="152"/>
      <c r="H136" s="141"/>
      <c r="I136" s="152"/>
      <c r="J136" s="141"/>
      <c r="K136" s="218"/>
      <c r="L136" s="141"/>
      <c r="M136" s="218"/>
      <c r="N136" s="141"/>
      <c r="O136" s="141"/>
      <c r="P136" s="141"/>
      <c r="Q136" s="141"/>
      <c r="R136" s="141"/>
      <c r="S136" s="141"/>
      <c r="T136" s="141"/>
      <c r="U136" s="141"/>
      <c r="V136" s="142"/>
    </row>
    <row r="137" spans="2:22" x14ac:dyDescent="0.2">
      <c r="B137" s="214" t="s">
        <v>286</v>
      </c>
      <c r="C137" s="152">
        <v>110</v>
      </c>
      <c r="D137" s="215">
        <f>30238000/2</f>
        <v>15119000</v>
      </c>
      <c r="E137" s="216">
        <v>6.5000000000000002E-2</v>
      </c>
      <c r="F137" s="215">
        <f t="shared" ref="F137:F155" si="157">+ROUND((D137*E137)+D137,-3)</f>
        <v>16102000</v>
      </c>
      <c r="G137" s="216">
        <v>0.02</v>
      </c>
      <c r="H137" s="193">
        <f t="shared" ref="H137:H155" si="158">+(F137*G137)+F137</f>
        <v>16424040</v>
      </c>
      <c r="I137" s="152"/>
      <c r="J137" s="141"/>
      <c r="K137" s="195">
        <f t="shared" ref="K137:K166" si="159">+L137/F137</f>
        <v>6.2088349273382191</v>
      </c>
      <c r="L137" s="199">
        <v>99974660</v>
      </c>
      <c r="M137" s="195">
        <f t="shared" si="152"/>
        <v>8.2088020121724004</v>
      </c>
      <c r="N137" s="199">
        <v>132178130</v>
      </c>
      <c r="O137" s="199">
        <f t="shared" ref="O137:O200" si="160">L137+N137</f>
        <v>232152790</v>
      </c>
      <c r="P137" s="141">
        <f t="shared" si="154"/>
        <v>93872920.187793434</v>
      </c>
      <c r="Q137" s="141">
        <f t="shared" si="145"/>
        <v>99505295.399061039</v>
      </c>
      <c r="R137" s="141">
        <f t="shared" si="146"/>
        <v>469364.60093896091</v>
      </c>
      <c r="S137" s="141">
        <f t="shared" si="147"/>
        <v>124110920.18779343</v>
      </c>
      <c r="T137" s="141">
        <f t="shared" si="148"/>
        <v>131557575.39906104</v>
      </c>
      <c r="U137" s="141">
        <f t="shared" si="149"/>
        <v>620554.60093896091</v>
      </c>
      <c r="V137" s="142">
        <f t="shared" si="150"/>
        <v>1089919.2018779218</v>
      </c>
    </row>
    <row r="138" spans="2:22" x14ac:dyDescent="0.2">
      <c r="B138" s="214" t="s">
        <v>302</v>
      </c>
      <c r="C138" s="152">
        <v>32</v>
      </c>
      <c r="D138" s="215">
        <v>7261000</v>
      </c>
      <c r="E138" s="216">
        <v>0.09</v>
      </c>
      <c r="F138" s="215">
        <f t="shared" si="157"/>
        <v>7914000</v>
      </c>
      <c r="G138" s="216">
        <v>0.02</v>
      </c>
      <c r="H138" s="193">
        <f t="shared" si="158"/>
        <v>8072280</v>
      </c>
      <c r="I138" s="152"/>
      <c r="J138" s="141"/>
      <c r="K138" s="195">
        <f t="shared" si="159"/>
        <v>68.904396007076087</v>
      </c>
      <c r="L138" s="199">
        <v>545309390.00000012</v>
      </c>
      <c r="M138" s="195">
        <f t="shared" si="152"/>
        <v>67.104272175890841</v>
      </c>
      <c r="N138" s="199">
        <v>531063210.00000012</v>
      </c>
      <c r="O138" s="199">
        <f t="shared" si="160"/>
        <v>1076372600.0000002</v>
      </c>
      <c r="P138" s="141">
        <f t="shared" si="154"/>
        <v>500283844.03669733</v>
      </c>
      <c r="Q138" s="141">
        <f t="shared" si="145"/>
        <v>530300874.67889917</v>
      </c>
      <c r="R138" s="141">
        <f t="shared" si="146"/>
        <v>15008515.32110095</v>
      </c>
      <c r="S138" s="141">
        <f t="shared" si="147"/>
        <v>487213954.12844044</v>
      </c>
      <c r="T138" s="141">
        <f t="shared" si="148"/>
        <v>516446791.37614685</v>
      </c>
      <c r="U138" s="141">
        <f t="shared" si="149"/>
        <v>14616418.623853266</v>
      </c>
      <c r="V138" s="142">
        <f t="shared" si="150"/>
        <v>29624933.944954216</v>
      </c>
    </row>
    <row r="139" spans="2:22" x14ac:dyDescent="0.2">
      <c r="B139" s="214" t="s">
        <v>295</v>
      </c>
      <c r="C139" s="152">
        <v>30</v>
      </c>
      <c r="D139" s="215">
        <v>7539000</v>
      </c>
      <c r="E139" s="216">
        <v>0.09</v>
      </c>
      <c r="F139" s="215">
        <f t="shared" si="157"/>
        <v>8218000</v>
      </c>
      <c r="G139" s="216">
        <v>0.02</v>
      </c>
      <c r="H139" s="193">
        <f t="shared" si="158"/>
        <v>8382360</v>
      </c>
      <c r="I139" s="152"/>
      <c r="J139" s="141"/>
      <c r="K139" s="195">
        <f t="shared" si="159"/>
        <v>47.797078364565593</v>
      </c>
      <c r="L139" s="199">
        <v>392796390.00000006</v>
      </c>
      <c r="M139" s="195">
        <f t="shared" si="152"/>
        <v>46.797137989778541</v>
      </c>
      <c r="N139" s="199">
        <v>384578880.00000006</v>
      </c>
      <c r="O139" s="199">
        <f t="shared" si="160"/>
        <v>777375270.00000012</v>
      </c>
      <c r="P139" s="141">
        <f t="shared" si="154"/>
        <v>360363660.55045873</v>
      </c>
      <c r="Q139" s="141">
        <f t="shared" si="145"/>
        <v>381985480.18348622</v>
      </c>
      <c r="R139" s="141">
        <f t="shared" si="146"/>
        <v>10810909.816513836</v>
      </c>
      <c r="S139" s="141">
        <f t="shared" si="147"/>
        <v>352824660.55045873</v>
      </c>
      <c r="T139" s="141">
        <f t="shared" si="148"/>
        <v>373994140.18348622</v>
      </c>
      <c r="U139" s="141">
        <f t="shared" si="149"/>
        <v>10584739.816513836</v>
      </c>
      <c r="V139" s="142">
        <f t="shared" si="150"/>
        <v>21395649.633027673</v>
      </c>
    </row>
    <row r="140" spans="2:22" x14ac:dyDescent="0.2">
      <c r="B140" s="214" t="s">
        <v>297</v>
      </c>
      <c r="C140" s="152">
        <v>26</v>
      </c>
      <c r="D140" s="215">
        <v>7162000</v>
      </c>
      <c r="E140" s="216">
        <v>0.09</v>
      </c>
      <c r="F140" s="215">
        <f t="shared" si="157"/>
        <v>7807000</v>
      </c>
      <c r="G140" s="216">
        <v>0.02</v>
      </c>
      <c r="H140" s="193">
        <f t="shared" si="158"/>
        <v>7963140</v>
      </c>
      <c r="I140" s="216">
        <v>2.5000000000000001E-2</v>
      </c>
      <c r="J140" s="193">
        <f>+(F140*I140)+F140</f>
        <v>8002175</v>
      </c>
      <c r="K140" s="195">
        <f t="shared" si="159"/>
        <v>0</v>
      </c>
      <c r="L140" s="141"/>
      <c r="M140" s="195">
        <f t="shared" si="152"/>
        <v>0</v>
      </c>
      <c r="N140" s="141"/>
      <c r="O140" s="141">
        <f t="shared" si="160"/>
        <v>0</v>
      </c>
      <c r="P140" s="141">
        <f t="shared" si="154"/>
        <v>0</v>
      </c>
      <c r="Q140" s="141">
        <f t="shared" si="145"/>
        <v>0</v>
      </c>
      <c r="R140" s="141">
        <f t="shared" si="146"/>
        <v>0</v>
      </c>
      <c r="S140" s="141">
        <f t="shared" si="147"/>
        <v>0</v>
      </c>
      <c r="T140" s="141">
        <f t="shared" si="148"/>
        <v>0</v>
      </c>
      <c r="U140" s="141">
        <f t="shared" si="149"/>
        <v>0</v>
      </c>
      <c r="V140" s="142">
        <v>0</v>
      </c>
    </row>
    <row r="141" spans="2:22" x14ac:dyDescent="0.2">
      <c r="B141" s="214" t="s">
        <v>294</v>
      </c>
      <c r="C141" s="152">
        <v>29</v>
      </c>
      <c r="D141" s="215">
        <v>7545000</v>
      </c>
      <c r="E141" s="216">
        <v>0.09</v>
      </c>
      <c r="F141" s="215">
        <f t="shared" si="157"/>
        <v>8224000</v>
      </c>
      <c r="G141" s="216">
        <v>0.02</v>
      </c>
      <c r="H141" s="193">
        <f t="shared" si="158"/>
        <v>8388480</v>
      </c>
      <c r="I141" s="216">
        <v>2.5000000000000001E-2</v>
      </c>
      <c r="J141" s="193">
        <f>+(F141*I141)+F141</f>
        <v>8429600</v>
      </c>
      <c r="K141" s="195">
        <f t="shared" si="159"/>
        <v>10.700686496838523</v>
      </c>
      <c r="L141" s="199">
        <v>88002445.750000015</v>
      </c>
      <c r="M141" s="195">
        <f t="shared" si="152"/>
        <v>10.700686496838523</v>
      </c>
      <c r="N141" s="199">
        <v>88002445.750000015</v>
      </c>
      <c r="O141" s="199">
        <f t="shared" si="160"/>
        <v>176004891.50000003</v>
      </c>
      <c r="P141" s="141">
        <f t="shared" si="154"/>
        <v>80736188.761467904</v>
      </c>
      <c r="Q141" s="141">
        <f t="shared" si="145"/>
        <v>85580360.087155983</v>
      </c>
      <c r="R141" s="141">
        <f t="shared" si="146"/>
        <v>2422085.662844032</v>
      </c>
      <c r="S141" s="141">
        <f t="shared" si="147"/>
        <v>80736188.761467904</v>
      </c>
      <c r="T141" s="141">
        <f t="shared" si="148"/>
        <v>85580360.087155983</v>
      </c>
      <c r="U141" s="141">
        <f t="shared" si="149"/>
        <v>2422085.662844032</v>
      </c>
      <c r="V141" s="142">
        <f t="shared" si="150"/>
        <v>4844171.3256880641</v>
      </c>
    </row>
    <row r="142" spans="2:22" x14ac:dyDescent="0.2">
      <c r="B142" s="214" t="s">
        <v>300</v>
      </c>
      <c r="C142" s="152">
        <v>32</v>
      </c>
      <c r="D142" s="215">
        <v>7511000</v>
      </c>
      <c r="E142" s="216">
        <v>0.09</v>
      </c>
      <c r="F142" s="215">
        <f t="shared" si="157"/>
        <v>8187000</v>
      </c>
      <c r="G142" s="216">
        <v>0.02</v>
      </c>
      <c r="H142" s="193">
        <f t="shared" si="158"/>
        <v>8350740</v>
      </c>
      <c r="I142" s="152"/>
      <c r="J142" s="141"/>
      <c r="K142" s="195">
        <f t="shared" si="159"/>
        <v>15.999980456821792</v>
      </c>
      <c r="L142" s="199">
        <v>130991840.00000001</v>
      </c>
      <c r="M142" s="195">
        <f t="shared" si="152"/>
        <v>14.89998167827043</v>
      </c>
      <c r="N142" s="199">
        <v>121986150.00000001</v>
      </c>
      <c r="O142" s="199">
        <f t="shared" si="160"/>
        <v>252977990.00000003</v>
      </c>
      <c r="P142" s="141">
        <f t="shared" si="154"/>
        <v>120176000</v>
      </c>
      <c r="Q142" s="141">
        <f t="shared" si="145"/>
        <v>127386560</v>
      </c>
      <c r="R142" s="141">
        <f t="shared" si="146"/>
        <v>3605280.0000000149</v>
      </c>
      <c r="S142" s="141">
        <f t="shared" si="147"/>
        <v>111913899.08256881</v>
      </c>
      <c r="T142" s="141">
        <f t="shared" si="148"/>
        <v>118628733.02752294</v>
      </c>
      <c r="U142" s="141">
        <f t="shared" si="149"/>
        <v>3357416.9724770784</v>
      </c>
      <c r="V142" s="142">
        <f t="shared" si="150"/>
        <v>6962696.9724770933</v>
      </c>
    </row>
    <row r="143" spans="2:22" x14ac:dyDescent="0.2">
      <c r="B143" s="214" t="s">
        <v>296</v>
      </c>
      <c r="C143" s="152">
        <v>30</v>
      </c>
      <c r="D143" s="215">
        <v>7925000</v>
      </c>
      <c r="E143" s="216">
        <v>0.09</v>
      </c>
      <c r="F143" s="215">
        <f t="shared" si="157"/>
        <v>8638000</v>
      </c>
      <c r="G143" s="216">
        <v>0.02</v>
      </c>
      <c r="H143" s="193">
        <f t="shared" si="158"/>
        <v>8810760</v>
      </c>
      <c r="I143" s="216">
        <v>2.5000000000000001E-2</v>
      </c>
      <c r="J143" s="193">
        <f t="shared" ref="J143:J153" si="161">+(F143*I143)+F143</f>
        <v>8853950</v>
      </c>
      <c r="K143" s="195">
        <f t="shared" si="159"/>
        <v>27.500810372771475</v>
      </c>
      <c r="L143" s="199">
        <v>237552000</v>
      </c>
      <c r="M143" s="195">
        <f t="shared" si="152"/>
        <v>27.500810372771475</v>
      </c>
      <c r="N143" s="199">
        <v>237552000</v>
      </c>
      <c r="O143" s="199">
        <f t="shared" si="160"/>
        <v>475104000</v>
      </c>
      <c r="P143" s="141">
        <f t="shared" si="154"/>
        <v>217937614.67889908</v>
      </c>
      <c r="Q143" s="141">
        <f t="shared" si="145"/>
        <v>231013871.55963302</v>
      </c>
      <c r="R143" s="141">
        <f t="shared" si="146"/>
        <v>6538128.4403669834</v>
      </c>
      <c r="S143" s="141">
        <f t="shared" si="147"/>
        <v>217937614.67889908</v>
      </c>
      <c r="T143" s="141">
        <f t="shared" si="148"/>
        <v>231013871.55963302</v>
      </c>
      <c r="U143" s="141">
        <f t="shared" si="149"/>
        <v>6538128.4403669834</v>
      </c>
      <c r="V143" s="142">
        <f t="shared" si="150"/>
        <v>13076256.880733967</v>
      </c>
    </row>
    <row r="144" spans="2:22" x14ac:dyDescent="0.2">
      <c r="B144" s="214" t="s">
        <v>299</v>
      </c>
      <c r="C144" s="152">
        <v>30</v>
      </c>
      <c r="D144" s="215">
        <v>5035000</v>
      </c>
      <c r="E144" s="216">
        <v>0.09</v>
      </c>
      <c r="F144" s="215">
        <f t="shared" si="157"/>
        <v>5488000</v>
      </c>
      <c r="G144" s="216">
        <v>0.02</v>
      </c>
      <c r="H144" s="193">
        <f t="shared" si="158"/>
        <v>5597760</v>
      </c>
      <c r="I144" s="216">
        <v>2.5000000000000001E-2</v>
      </c>
      <c r="J144" s="193">
        <f t="shared" si="161"/>
        <v>5625200</v>
      </c>
      <c r="K144" s="195">
        <f t="shared" si="159"/>
        <v>19.90054391399417</v>
      </c>
      <c r="L144" s="199">
        <v>109214185</v>
      </c>
      <c r="M144" s="195">
        <f t="shared" si="152"/>
        <v>19.90054391399417</v>
      </c>
      <c r="N144" s="199">
        <v>109214185</v>
      </c>
      <c r="O144" s="199">
        <f t="shared" si="160"/>
        <v>218428370</v>
      </c>
      <c r="P144" s="141">
        <f t="shared" si="154"/>
        <v>100196500</v>
      </c>
      <c r="Q144" s="141">
        <f t="shared" si="145"/>
        <v>106208290</v>
      </c>
      <c r="R144" s="141">
        <f t="shared" si="146"/>
        <v>3005895</v>
      </c>
      <c r="S144" s="141">
        <f t="shared" si="147"/>
        <v>100196500</v>
      </c>
      <c r="T144" s="141">
        <f t="shared" si="148"/>
        <v>106208290</v>
      </c>
      <c r="U144" s="141">
        <f t="shared" si="149"/>
        <v>3005895</v>
      </c>
      <c r="V144" s="142">
        <f t="shared" si="150"/>
        <v>6011790</v>
      </c>
    </row>
    <row r="145" spans="2:22" x14ac:dyDescent="0.2">
      <c r="B145" s="214" t="s">
        <v>301</v>
      </c>
      <c r="C145" s="152">
        <v>30</v>
      </c>
      <c r="D145" s="215">
        <v>7261000</v>
      </c>
      <c r="E145" s="216">
        <v>0.09</v>
      </c>
      <c r="F145" s="215">
        <f t="shared" si="157"/>
        <v>7914000</v>
      </c>
      <c r="G145" s="216">
        <v>0.02</v>
      </c>
      <c r="H145" s="193">
        <f t="shared" si="158"/>
        <v>8072280</v>
      </c>
      <c r="I145" s="216">
        <v>2.5000000000000001E-2</v>
      </c>
      <c r="J145" s="193">
        <f t="shared" si="161"/>
        <v>8111850</v>
      </c>
      <c r="K145" s="195">
        <f t="shared" si="159"/>
        <v>14.400868840030327</v>
      </c>
      <c r="L145" s="199">
        <v>113968476.00000001</v>
      </c>
      <c r="M145" s="195">
        <f t="shared" si="152"/>
        <v>14.400868840030327</v>
      </c>
      <c r="N145" s="199">
        <v>113968476.00000001</v>
      </c>
      <c r="O145" s="199">
        <f t="shared" si="160"/>
        <v>227936952.00000003</v>
      </c>
      <c r="P145" s="141">
        <f t="shared" si="154"/>
        <v>104558234.86238533</v>
      </c>
      <c r="Q145" s="141">
        <f t="shared" si="145"/>
        <v>110831728.95412846</v>
      </c>
      <c r="R145" s="141">
        <f t="shared" si="146"/>
        <v>3136747.0458715558</v>
      </c>
      <c r="S145" s="141">
        <f t="shared" si="147"/>
        <v>104558234.86238533</v>
      </c>
      <c r="T145" s="141">
        <f t="shared" si="148"/>
        <v>110831728.95412846</v>
      </c>
      <c r="U145" s="141">
        <f t="shared" si="149"/>
        <v>3136747.0458715558</v>
      </c>
      <c r="V145" s="142">
        <f t="shared" si="150"/>
        <v>6273494.0917431116</v>
      </c>
    </row>
    <row r="146" spans="2:22" x14ac:dyDescent="0.2">
      <c r="B146" s="214" t="s">
        <v>293</v>
      </c>
      <c r="C146" s="152">
        <v>31</v>
      </c>
      <c r="D146" s="215">
        <v>7318000</v>
      </c>
      <c r="E146" s="216">
        <v>0.09</v>
      </c>
      <c r="F146" s="215">
        <f t="shared" si="157"/>
        <v>7977000</v>
      </c>
      <c r="G146" s="216">
        <v>0.02</v>
      </c>
      <c r="H146" s="193">
        <f t="shared" si="158"/>
        <v>8136540</v>
      </c>
      <c r="I146" s="216">
        <v>2.5000000000000001E-2</v>
      </c>
      <c r="J146" s="193">
        <f t="shared" si="161"/>
        <v>8176425</v>
      </c>
      <c r="K146" s="195">
        <f t="shared" si="159"/>
        <v>13.399333082612513</v>
      </c>
      <c r="L146" s="199">
        <v>106886480.00000001</v>
      </c>
      <c r="M146" s="195">
        <f t="shared" si="152"/>
        <v>13.399333082612513</v>
      </c>
      <c r="N146" s="199">
        <v>106886480.00000001</v>
      </c>
      <c r="O146" s="199">
        <f t="shared" si="160"/>
        <v>213772960.00000003</v>
      </c>
      <c r="P146" s="141">
        <f t="shared" si="154"/>
        <v>98060990.825688079</v>
      </c>
      <c r="Q146" s="141">
        <f t="shared" si="145"/>
        <v>103944650.27522936</v>
      </c>
      <c r="R146" s="141">
        <f t="shared" si="146"/>
        <v>2941829.7247706503</v>
      </c>
      <c r="S146" s="141">
        <f t="shared" si="147"/>
        <v>98060990.825688079</v>
      </c>
      <c r="T146" s="141">
        <f t="shared" si="148"/>
        <v>103944650.27522936</v>
      </c>
      <c r="U146" s="141">
        <f t="shared" si="149"/>
        <v>2941829.7247706503</v>
      </c>
      <c r="V146" s="142">
        <f t="shared" si="150"/>
        <v>5883659.4495413005</v>
      </c>
    </row>
    <row r="147" spans="2:22" x14ac:dyDescent="0.2">
      <c r="B147" s="214" t="s">
        <v>292</v>
      </c>
      <c r="C147" s="152">
        <v>27</v>
      </c>
      <c r="D147" s="215">
        <v>7201000</v>
      </c>
      <c r="E147" s="216">
        <v>0.09</v>
      </c>
      <c r="F147" s="215">
        <f t="shared" si="157"/>
        <v>7849000</v>
      </c>
      <c r="G147" s="216">
        <v>0.02</v>
      </c>
      <c r="H147" s="193">
        <f t="shared" si="158"/>
        <v>8005980</v>
      </c>
      <c r="I147" s="216">
        <v>2.5000000000000001E-2</v>
      </c>
      <c r="J147" s="193">
        <f t="shared" si="161"/>
        <v>8045225</v>
      </c>
      <c r="K147" s="195">
        <f t="shared" si="159"/>
        <v>47.900550388584541</v>
      </c>
      <c r="L147" s="199">
        <v>375971420.00000006</v>
      </c>
      <c r="M147" s="195">
        <f t="shared" si="152"/>
        <v>48.000550388584543</v>
      </c>
      <c r="N147" s="199">
        <v>376756320.00000006</v>
      </c>
      <c r="O147" s="199">
        <f t="shared" si="160"/>
        <v>752727740.00000012</v>
      </c>
      <c r="P147" s="141">
        <f t="shared" si="154"/>
        <v>344927908.25688076</v>
      </c>
      <c r="Q147" s="141">
        <f t="shared" si="145"/>
        <v>365623582.75229359</v>
      </c>
      <c r="R147" s="141">
        <f t="shared" si="146"/>
        <v>10347837.247706473</v>
      </c>
      <c r="S147" s="141">
        <f t="shared" si="147"/>
        <v>345648000</v>
      </c>
      <c r="T147" s="141">
        <f t="shared" si="148"/>
        <v>366386880</v>
      </c>
      <c r="U147" s="141">
        <f t="shared" si="149"/>
        <v>10369440.00000006</v>
      </c>
      <c r="V147" s="142">
        <f t="shared" si="150"/>
        <v>20717277.247706532</v>
      </c>
    </row>
    <row r="148" spans="2:22" x14ac:dyDescent="0.2">
      <c r="B148" s="214" t="s">
        <v>482</v>
      </c>
      <c r="C148" s="152">
        <v>27</v>
      </c>
      <c r="D148" s="215">
        <v>7568000</v>
      </c>
      <c r="E148" s="216">
        <v>0.09</v>
      </c>
      <c r="F148" s="215">
        <f t="shared" si="157"/>
        <v>8249000</v>
      </c>
      <c r="G148" s="216">
        <v>0.02</v>
      </c>
      <c r="H148" s="193">
        <f t="shared" si="158"/>
        <v>8413980</v>
      </c>
      <c r="I148" s="216">
        <v>2.5000000000000001E-2</v>
      </c>
      <c r="J148" s="193">
        <f t="shared" si="161"/>
        <v>8455225</v>
      </c>
      <c r="K148" s="195">
        <f t="shared" si="159"/>
        <v>0</v>
      </c>
      <c r="L148" s="141"/>
      <c r="M148" s="195">
        <v>0</v>
      </c>
      <c r="N148" s="141"/>
      <c r="O148" s="141">
        <f t="shared" si="160"/>
        <v>0</v>
      </c>
      <c r="P148" s="141">
        <f t="shared" si="154"/>
        <v>0</v>
      </c>
      <c r="Q148" s="141">
        <f t="shared" si="145"/>
        <v>0</v>
      </c>
      <c r="R148" s="141">
        <f t="shared" si="146"/>
        <v>0</v>
      </c>
      <c r="S148" s="141">
        <f t="shared" si="147"/>
        <v>0</v>
      </c>
      <c r="T148" s="141">
        <f t="shared" si="148"/>
        <v>0</v>
      </c>
      <c r="U148" s="141">
        <f t="shared" si="149"/>
        <v>0</v>
      </c>
      <c r="V148" s="142">
        <v>0</v>
      </c>
    </row>
    <row r="149" spans="2:22" x14ac:dyDescent="0.2">
      <c r="B149" s="214" t="s">
        <v>483</v>
      </c>
      <c r="C149" s="152">
        <v>33</v>
      </c>
      <c r="D149" s="215">
        <v>7261000</v>
      </c>
      <c r="E149" s="216">
        <v>0.09</v>
      </c>
      <c r="F149" s="215">
        <f t="shared" si="157"/>
        <v>7914000</v>
      </c>
      <c r="G149" s="216">
        <v>0.02</v>
      </c>
      <c r="H149" s="193">
        <f t="shared" si="158"/>
        <v>8072280</v>
      </c>
      <c r="I149" s="216">
        <v>2.5000000000000001E-2</v>
      </c>
      <c r="J149" s="193">
        <f t="shared" si="161"/>
        <v>8111850</v>
      </c>
      <c r="K149" s="195">
        <f t="shared" si="159"/>
        <v>14.900928733889312</v>
      </c>
      <c r="L149" s="199">
        <v>117925950.00000001</v>
      </c>
      <c r="M149" s="195">
        <f t="shared" si="152"/>
        <v>14.900928733889312</v>
      </c>
      <c r="N149" s="199">
        <v>117925950.00000001</v>
      </c>
      <c r="O149" s="199">
        <f t="shared" si="160"/>
        <v>235851900.00000003</v>
      </c>
      <c r="P149" s="141">
        <f t="shared" si="154"/>
        <v>108188944.95412844</v>
      </c>
      <c r="Q149" s="141">
        <f t="shared" si="145"/>
        <v>114680281.65137616</v>
      </c>
      <c r="R149" s="141">
        <f t="shared" si="146"/>
        <v>3245668.3486238569</v>
      </c>
      <c r="S149" s="141">
        <f t="shared" si="147"/>
        <v>108188944.95412844</v>
      </c>
      <c r="T149" s="141">
        <f t="shared" si="148"/>
        <v>114680281.65137616</v>
      </c>
      <c r="U149" s="141">
        <f t="shared" si="149"/>
        <v>3245668.3486238569</v>
      </c>
      <c r="V149" s="142">
        <f t="shared" si="150"/>
        <v>6491336.6972477138</v>
      </c>
    </row>
    <row r="150" spans="2:22" x14ac:dyDescent="0.2">
      <c r="B150" s="214" t="s">
        <v>291</v>
      </c>
      <c r="C150" s="152">
        <v>27</v>
      </c>
      <c r="D150" s="215">
        <v>7318000</v>
      </c>
      <c r="E150" s="216">
        <v>0.09</v>
      </c>
      <c r="F150" s="215">
        <f t="shared" si="157"/>
        <v>7977000</v>
      </c>
      <c r="G150" s="216">
        <v>0.02</v>
      </c>
      <c r="H150" s="193">
        <f t="shared" si="158"/>
        <v>8136540</v>
      </c>
      <c r="I150" s="216">
        <v>2.5000000000000001E-2</v>
      </c>
      <c r="J150" s="193">
        <f t="shared" si="161"/>
        <v>8176425</v>
      </c>
      <c r="K150" s="195">
        <f t="shared" si="159"/>
        <v>51.197522878275045</v>
      </c>
      <c r="L150" s="199">
        <v>408402640.00000006</v>
      </c>
      <c r="M150" s="195">
        <f t="shared" si="152"/>
        <v>57.997189419581304</v>
      </c>
      <c r="N150" s="199">
        <v>462643580.00000006</v>
      </c>
      <c r="O150" s="199">
        <f t="shared" si="160"/>
        <v>871046220.00000012</v>
      </c>
      <c r="P150" s="141">
        <f t="shared" si="154"/>
        <v>374681321.10091746</v>
      </c>
      <c r="Q150" s="141">
        <f t="shared" si="145"/>
        <v>397162200.36697251</v>
      </c>
      <c r="R150" s="141">
        <f t="shared" si="146"/>
        <v>11240439.633027554</v>
      </c>
      <c r="S150" s="141">
        <f t="shared" si="147"/>
        <v>424443651.37614679</v>
      </c>
      <c r="T150" s="141">
        <f t="shared" si="148"/>
        <v>449910270.45871562</v>
      </c>
      <c r="U150" s="141">
        <f t="shared" si="149"/>
        <v>12733309.541284442</v>
      </c>
      <c r="V150" s="142">
        <f t="shared" si="150"/>
        <v>23973749.174311996</v>
      </c>
    </row>
    <row r="151" spans="2:22" x14ac:dyDescent="0.2">
      <c r="B151" s="214" t="s">
        <v>298</v>
      </c>
      <c r="C151" s="152">
        <v>25</v>
      </c>
      <c r="D151" s="215">
        <v>7542000</v>
      </c>
      <c r="E151" s="216">
        <v>0.09</v>
      </c>
      <c r="F151" s="215">
        <f t="shared" si="157"/>
        <v>8221000</v>
      </c>
      <c r="G151" s="216">
        <v>0.02</v>
      </c>
      <c r="H151" s="193">
        <f t="shared" si="158"/>
        <v>8385420</v>
      </c>
      <c r="I151" s="216">
        <v>2.5000000000000001E-2</v>
      </c>
      <c r="J151" s="193">
        <f t="shared" si="161"/>
        <v>8426525</v>
      </c>
      <c r="K151" s="195">
        <f t="shared" si="159"/>
        <v>14.799598588979444</v>
      </c>
      <c r="L151" s="199">
        <v>121667500.00000001</v>
      </c>
      <c r="M151" s="195">
        <f t="shared" si="152"/>
        <v>13.799625349714148</v>
      </c>
      <c r="N151" s="199">
        <v>113446720.00000001</v>
      </c>
      <c r="O151" s="199">
        <f t="shared" si="160"/>
        <v>235114220.00000003</v>
      </c>
      <c r="P151" s="141">
        <f t="shared" si="154"/>
        <v>111621559.63302752</v>
      </c>
      <c r="Q151" s="141">
        <f t="shared" si="145"/>
        <v>118318853.21100917</v>
      </c>
      <c r="R151" s="141">
        <f t="shared" si="146"/>
        <v>3348646.7889908403</v>
      </c>
      <c r="S151" s="141">
        <f t="shared" si="147"/>
        <v>104079559.63302752</v>
      </c>
      <c r="T151" s="141">
        <f t="shared" si="148"/>
        <v>110324333.21100917</v>
      </c>
      <c r="U151" s="141">
        <f t="shared" si="149"/>
        <v>3122386.7889908403</v>
      </c>
      <c r="V151" s="142">
        <f t="shared" si="150"/>
        <v>6471033.5779816806</v>
      </c>
    </row>
    <row r="152" spans="2:22" x14ac:dyDescent="0.2">
      <c r="B152" s="214" t="s">
        <v>290</v>
      </c>
      <c r="C152" s="152">
        <v>50</v>
      </c>
      <c r="D152" s="215">
        <v>8500000</v>
      </c>
      <c r="E152" s="216">
        <v>0.09</v>
      </c>
      <c r="F152" s="215">
        <f t="shared" si="157"/>
        <v>9265000</v>
      </c>
      <c r="G152" s="216">
        <v>0.02</v>
      </c>
      <c r="H152" s="193">
        <f t="shared" si="158"/>
        <v>9450300</v>
      </c>
      <c r="I152" s="216">
        <v>2.5000000000000001E-2</v>
      </c>
      <c r="J152" s="193">
        <f t="shared" si="161"/>
        <v>9496625</v>
      </c>
      <c r="K152" s="195">
        <f t="shared" si="159"/>
        <v>43.7</v>
      </c>
      <c r="L152" s="199">
        <v>404880500</v>
      </c>
      <c r="M152" s="195">
        <f t="shared" si="152"/>
        <v>63.3</v>
      </c>
      <c r="N152" s="199">
        <v>586474500</v>
      </c>
      <c r="O152" s="199">
        <f t="shared" si="160"/>
        <v>991355000</v>
      </c>
      <c r="P152" s="141">
        <f t="shared" si="154"/>
        <v>371450000</v>
      </c>
      <c r="Q152" s="141">
        <f t="shared" si="145"/>
        <v>393737000</v>
      </c>
      <c r="R152" s="141">
        <f t="shared" si="146"/>
        <v>11143500</v>
      </c>
      <c r="S152" s="141">
        <f t="shared" si="147"/>
        <v>538050000</v>
      </c>
      <c r="T152" s="141">
        <f t="shared" si="148"/>
        <v>570333000</v>
      </c>
      <c r="U152" s="141">
        <f t="shared" si="149"/>
        <v>16141500</v>
      </c>
      <c r="V152" s="142">
        <f t="shared" si="150"/>
        <v>27285000</v>
      </c>
    </row>
    <row r="153" spans="2:22" x14ac:dyDescent="0.2">
      <c r="B153" s="214" t="s">
        <v>289</v>
      </c>
      <c r="C153" s="152">
        <v>60</v>
      </c>
      <c r="D153" s="215">
        <v>8500000</v>
      </c>
      <c r="E153" s="216">
        <v>0.09</v>
      </c>
      <c r="F153" s="215">
        <f t="shared" si="157"/>
        <v>9265000</v>
      </c>
      <c r="G153" s="216">
        <v>0.02</v>
      </c>
      <c r="H153" s="193">
        <f t="shared" si="158"/>
        <v>9450300</v>
      </c>
      <c r="I153" s="216">
        <v>2.5000000000000001E-2</v>
      </c>
      <c r="J153" s="193">
        <f t="shared" si="161"/>
        <v>9496625</v>
      </c>
      <c r="K153" s="195">
        <f t="shared" si="159"/>
        <v>24.6</v>
      </c>
      <c r="L153" s="199">
        <v>227919000</v>
      </c>
      <c r="M153" s="195">
        <f t="shared" si="152"/>
        <v>44.3</v>
      </c>
      <c r="N153" s="199">
        <v>410439500</v>
      </c>
      <c r="O153" s="199">
        <f t="shared" si="160"/>
        <v>638358500</v>
      </c>
      <c r="P153" s="141">
        <f t="shared" si="154"/>
        <v>209099999.99999997</v>
      </c>
      <c r="Q153" s="141">
        <f t="shared" si="145"/>
        <v>221645999.99999997</v>
      </c>
      <c r="R153" s="141">
        <f t="shared" si="146"/>
        <v>6273000.0000000298</v>
      </c>
      <c r="S153" s="141">
        <f t="shared" si="147"/>
        <v>376550000</v>
      </c>
      <c r="T153" s="141">
        <f t="shared" si="148"/>
        <v>399143000</v>
      </c>
      <c r="U153" s="141">
        <f t="shared" si="149"/>
        <v>11296500</v>
      </c>
      <c r="V153" s="142">
        <f t="shared" si="150"/>
        <v>17569500.00000003</v>
      </c>
    </row>
    <row r="154" spans="2:22" x14ac:dyDescent="0.2">
      <c r="B154" s="214" t="s">
        <v>287</v>
      </c>
      <c r="C154" s="152">
        <v>47</v>
      </c>
      <c r="D154" s="215">
        <v>8512000</v>
      </c>
      <c r="E154" s="216">
        <v>0.09</v>
      </c>
      <c r="F154" s="215">
        <f t="shared" si="157"/>
        <v>9278000</v>
      </c>
      <c r="G154" s="216">
        <v>0.02</v>
      </c>
      <c r="H154" s="193">
        <f t="shared" si="158"/>
        <v>9463560</v>
      </c>
      <c r="I154" s="152"/>
      <c r="J154" s="141"/>
      <c r="K154" s="195">
        <f t="shared" si="159"/>
        <v>0</v>
      </c>
      <c r="L154" s="141"/>
      <c r="M154" s="195">
        <f t="shared" si="152"/>
        <v>0</v>
      </c>
      <c r="N154" s="141"/>
      <c r="O154" s="141">
        <f t="shared" si="160"/>
        <v>0</v>
      </c>
      <c r="P154" s="141">
        <f t="shared" si="154"/>
        <v>0</v>
      </c>
      <c r="Q154" s="141">
        <f t="shared" si="145"/>
        <v>0</v>
      </c>
      <c r="R154" s="141">
        <f t="shared" si="146"/>
        <v>0</v>
      </c>
      <c r="S154" s="141">
        <f t="shared" si="147"/>
        <v>0</v>
      </c>
      <c r="T154" s="141">
        <f t="shared" si="148"/>
        <v>0</v>
      </c>
      <c r="U154" s="141">
        <f t="shared" si="149"/>
        <v>0</v>
      </c>
      <c r="V154" s="142">
        <f t="shared" si="150"/>
        <v>0</v>
      </c>
    </row>
    <row r="155" spans="2:22" x14ac:dyDescent="0.2">
      <c r="B155" s="214" t="s">
        <v>288</v>
      </c>
      <c r="C155" s="152">
        <v>60</v>
      </c>
      <c r="D155" s="215">
        <v>9642000</v>
      </c>
      <c r="E155" s="216">
        <v>0.09</v>
      </c>
      <c r="F155" s="215">
        <f t="shared" si="157"/>
        <v>10510000</v>
      </c>
      <c r="G155" s="216">
        <v>0.02</v>
      </c>
      <c r="H155" s="193">
        <f t="shared" si="158"/>
        <v>10720200</v>
      </c>
      <c r="I155" s="216">
        <v>2.5000000000000001E-2</v>
      </c>
      <c r="J155" s="193">
        <f>+(F155*I155)+F155</f>
        <v>10772750</v>
      </c>
      <c r="K155" s="195">
        <f t="shared" si="159"/>
        <v>23.199497621313036</v>
      </c>
      <c r="L155" s="199">
        <v>243826720</v>
      </c>
      <c r="M155" s="195">
        <f t="shared" si="152"/>
        <v>23.199497621313036</v>
      </c>
      <c r="N155" s="199">
        <v>243826720</v>
      </c>
      <c r="O155" s="199">
        <f t="shared" si="160"/>
        <v>487653440</v>
      </c>
      <c r="P155" s="141">
        <f t="shared" si="154"/>
        <v>223694238.53211007</v>
      </c>
      <c r="Q155" s="141">
        <f t="shared" si="145"/>
        <v>237115892.84403667</v>
      </c>
      <c r="R155" s="141">
        <f t="shared" si="146"/>
        <v>6710827.1559633315</v>
      </c>
      <c r="S155" s="141">
        <f t="shared" si="147"/>
        <v>223694238.53211007</v>
      </c>
      <c r="T155" s="141">
        <f t="shared" si="148"/>
        <v>237115892.84403667</v>
      </c>
      <c r="U155" s="141">
        <f t="shared" si="149"/>
        <v>6710827.1559633315</v>
      </c>
      <c r="V155" s="142">
        <f t="shared" si="150"/>
        <v>13421654.311926663</v>
      </c>
    </row>
    <row r="156" spans="2:22" x14ac:dyDescent="0.2">
      <c r="B156" s="217" t="s">
        <v>528</v>
      </c>
      <c r="C156" s="152"/>
      <c r="D156" s="215"/>
      <c r="E156" s="216"/>
      <c r="F156" s="215"/>
      <c r="G156" s="152"/>
      <c r="H156" s="141"/>
      <c r="I156" s="152"/>
      <c r="J156" s="141"/>
      <c r="K156" s="218"/>
      <c r="L156" s="141"/>
      <c r="M156" s="218"/>
      <c r="N156" s="141"/>
      <c r="O156" s="141"/>
      <c r="P156" s="141"/>
      <c r="Q156" s="141"/>
      <c r="R156" s="141"/>
      <c r="S156" s="141"/>
      <c r="T156" s="141"/>
      <c r="U156" s="141"/>
      <c r="V156" s="142"/>
    </row>
    <row r="157" spans="2:22" x14ac:dyDescent="0.2">
      <c r="B157" s="214" t="s">
        <v>484</v>
      </c>
      <c r="C157" s="152"/>
      <c r="D157" s="215">
        <v>6763000</v>
      </c>
      <c r="E157" s="216">
        <v>0.09</v>
      </c>
      <c r="F157" s="215">
        <f t="shared" ref="F157:F165" si="162">+ROUND((D157*E157)+D157,-3)</f>
        <v>7372000</v>
      </c>
      <c r="G157" s="216">
        <v>0.02</v>
      </c>
      <c r="H157" s="193">
        <f t="shared" ref="H157:H165" si="163">+(F157*G157)+F157</f>
        <v>7519440</v>
      </c>
      <c r="I157" s="216">
        <v>2.5000000000000001E-2</v>
      </c>
      <c r="J157" s="193">
        <f t="shared" ref="J157:J165" si="164">+(F157*I157)+F157</f>
        <v>7556300</v>
      </c>
      <c r="K157" s="195">
        <f t="shared" si="159"/>
        <v>0</v>
      </c>
      <c r="L157" s="141"/>
      <c r="M157" s="220"/>
      <c r="N157" s="141"/>
      <c r="O157" s="141">
        <f t="shared" si="160"/>
        <v>0</v>
      </c>
      <c r="P157" s="141">
        <f t="shared" si="154"/>
        <v>0</v>
      </c>
      <c r="Q157" s="141">
        <f t="shared" si="145"/>
        <v>0</v>
      </c>
      <c r="R157" s="141">
        <f t="shared" si="146"/>
        <v>0</v>
      </c>
      <c r="S157" s="141">
        <f t="shared" si="147"/>
        <v>0</v>
      </c>
      <c r="T157" s="141">
        <f t="shared" si="148"/>
        <v>0</v>
      </c>
      <c r="U157" s="141">
        <f t="shared" si="149"/>
        <v>0</v>
      </c>
      <c r="V157" s="142">
        <f t="shared" si="150"/>
        <v>0</v>
      </c>
    </row>
    <row r="158" spans="2:22" x14ac:dyDescent="0.2">
      <c r="B158" s="214" t="s">
        <v>485</v>
      </c>
      <c r="C158" s="152">
        <v>28</v>
      </c>
      <c r="D158" s="215">
        <v>6763000</v>
      </c>
      <c r="E158" s="216">
        <v>0.09</v>
      </c>
      <c r="F158" s="215">
        <f t="shared" si="162"/>
        <v>7372000</v>
      </c>
      <c r="G158" s="216">
        <v>0.02</v>
      </c>
      <c r="H158" s="193">
        <f t="shared" si="163"/>
        <v>7519440</v>
      </c>
      <c r="I158" s="216">
        <v>2.5000000000000001E-2</v>
      </c>
      <c r="J158" s="193">
        <f t="shared" si="164"/>
        <v>7556300</v>
      </c>
      <c r="K158" s="195">
        <f t="shared" si="159"/>
        <v>20.199059956592517</v>
      </c>
      <c r="L158" s="199">
        <v>148907470.00000003</v>
      </c>
      <c r="M158" s="195">
        <f t="shared" ref="M158:M162" si="165">+N158/F158</f>
        <v>19.1991047205643</v>
      </c>
      <c r="N158" s="199">
        <v>141535800.00000003</v>
      </c>
      <c r="O158" s="199">
        <f t="shared" si="160"/>
        <v>290443270.00000006</v>
      </c>
      <c r="P158" s="141">
        <f t="shared" si="154"/>
        <v>136612357.79816514</v>
      </c>
      <c r="Q158" s="141">
        <f t="shared" si="145"/>
        <v>144809099.26605505</v>
      </c>
      <c r="R158" s="141">
        <f t="shared" si="146"/>
        <v>4098370.7339449823</v>
      </c>
      <c r="S158" s="141">
        <f t="shared" si="147"/>
        <v>129849357.79816516</v>
      </c>
      <c r="T158" s="141">
        <f t="shared" si="148"/>
        <v>137640319.26605508</v>
      </c>
      <c r="U158" s="141">
        <f t="shared" si="149"/>
        <v>3895480.7339449525</v>
      </c>
      <c r="V158" s="142">
        <f t="shared" si="150"/>
        <v>7993851.4678899348</v>
      </c>
    </row>
    <row r="159" spans="2:22" x14ac:dyDescent="0.2">
      <c r="B159" s="214" t="s">
        <v>304</v>
      </c>
      <c r="C159" s="152"/>
      <c r="D159" s="215">
        <v>6763000</v>
      </c>
      <c r="E159" s="216">
        <v>0.09</v>
      </c>
      <c r="F159" s="215">
        <f t="shared" si="162"/>
        <v>7372000</v>
      </c>
      <c r="G159" s="216">
        <v>0.02</v>
      </c>
      <c r="H159" s="193">
        <f t="shared" si="163"/>
        <v>7519440</v>
      </c>
      <c r="I159" s="216">
        <v>2.5000000000000001E-2</v>
      </c>
      <c r="J159" s="193">
        <f t="shared" si="164"/>
        <v>7556300</v>
      </c>
      <c r="K159" s="195">
        <f t="shared" si="159"/>
        <v>0</v>
      </c>
      <c r="L159" s="141"/>
      <c r="M159" s="195">
        <f t="shared" si="165"/>
        <v>0</v>
      </c>
      <c r="N159" s="141"/>
      <c r="O159" s="141">
        <f t="shared" si="160"/>
        <v>0</v>
      </c>
      <c r="P159" s="141">
        <f t="shared" si="154"/>
        <v>0</v>
      </c>
      <c r="Q159" s="141">
        <f t="shared" si="145"/>
        <v>0</v>
      </c>
      <c r="R159" s="141">
        <f t="shared" si="146"/>
        <v>0</v>
      </c>
      <c r="S159" s="141">
        <f t="shared" si="147"/>
        <v>0</v>
      </c>
      <c r="T159" s="141">
        <f t="shared" si="148"/>
        <v>0</v>
      </c>
      <c r="U159" s="141">
        <f t="shared" si="149"/>
        <v>0</v>
      </c>
      <c r="V159" s="142">
        <f t="shared" si="150"/>
        <v>0</v>
      </c>
    </row>
    <row r="160" spans="2:22" x14ac:dyDescent="0.2">
      <c r="B160" s="214" t="s">
        <v>303</v>
      </c>
      <c r="C160" s="152">
        <v>30</v>
      </c>
      <c r="D160" s="215">
        <v>6763000</v>
      </c>
      <c r="E160" s="216">
        <v>0.09</v>
      </c>
      <c r="F160" s="215">
        <f t="shared" si="162"/>
        <v>7372000</v>
      </c>
      <c r="G160" s="216">
        <v>0.02</v>
      </c>
      <c r="H160" s="193">
        <f t="shared" si="163"/>
        <v>7519440</v>
      </c>
      <c r="I160" s="216">
        <v>2.5000000000000001E-2</v>
      </c>
      <c r="J160" s="193">
        <f t="shared" si="164"/>
        <v>7556300</v>
      </c>
      <c r="K160" s="195">
        <f t="shared" si="159"/>
        <v>7.7996418882257199</v>
      </c>
      <c r="L160" s="199">
        <v>57498960.000000007</v>
      </c>
      <c r="M160" s="195">
        <f t="shared" si="165"/>
        <v>7.7996418882257199</v>
      </c>
      <c r="N160" s="199">
        <v>57498960.000000007</v>
      </c>
      <c r="O160" s="199">
        <f t="shared" si="160"/>
        <v>114997920.00000001</v>
      </c>
      <c r="P160" s="141">
        <f t="shared" si="154"/>
        <v>52751339.449541286</v>
      </c>
      <c r="Q160" s="141">
        <f t="shared" si="145"/>
        <v>55916419.816513762</v>
      </c>
      <c r="R160" s="141">
        <f t="shared" si="146"/>
        <v>1582540.1834862456</v>
      </c>
      <c r="S160" s="141">
        <f t="shared" si="147"/>
        <v>52751339.449541286</v>
      </c>
      <c r="T160" s="141">
        <f t="shared" si="148"/>
        <v>55916419.816513762</v>
      </c>
      <c r="U160" s="141">
        <f t="shared" si="149"/>
        <v>1582540.1834862456</v>
      </c>
      <c r="V160" s="142">
        <f t="shared" si="150"/>
        <v>3165080.3669724911</v>
      </c>
    </row>
    <row r="161" spans="2:22" x14ac:dyDescent="0.2">
      <c r="B161" s="214" t="s">
        <v>305</v>
      </c>
      <c r="C161" s="152">
        <v>38</v>
      </c>
      <c r="D161" s="215">
        <v>7901000</v>
      </c>
      <c r="E161" s="216">
        <v>0.09</v>
      </c>
      <c r="F161" s="215">
        <f t="shared" si="162"/>
        <v>8612000</v>
      </c>
      <c r="G161" s="216">
        <v>0.02</v>
      </c>
      <c r="H161" s="193">
        <f t="shared" si="163"/>
        <v>8784240</v>
      </c>
      <c r="I161" s="216">
        <v>2.5000000000000001E-2</v>
      </c>
      <c r="J161" s="193">
        <f t="shared" si="164"/>
        <v>8827300</v>
      </c>
      <c r="K161" s="195">
        <f t="shared" si="159"/>
        <v>23.000240362285183</v>
      </c>
      <c r="L161" s="199">
        <v>198078070</v>
      </c>
      <c r="M161" s="195">
        <f t="shared" si="165"/>
        <v>48.000501625638641</v>
      </c>
      <c r="N161" s="199">
        <v>413380320</v>
      </c>
      <c r="O161" s="199">
        <f t="shared" si="160"/>
        <v>611458390</v>
      </c>
      <c r="P161" s="141">
        <f t="shared" si="154"/>
        <v>181723000</v>
      </c>
      <c r="Q161" s="141">
        <f t="shared" si="145"/>
        <v>192626380</v>
      </c>
      <c r="R161" s="141">
        <f t="shared" si="146"/>
        <v>5451690</v>
      </c>
      <c r="S161" s="141">
        <f t="shared" si="147"/>
        <v>379248000</v>
      </c>
      <c r="T161" s="141">
        <f t="shared" si="148"/>
        <v>402002880</v>
      </c>
      <c r="U161" s="141">
        <f t="shared" si="149"/>
        <v>11377440</v>
      </c>
      <c r="V161" s="142">
        <f t="shared" si="150"/>
        <v>16829130</v>
      </c>
    </row>
    <row r="162" spans="2:22" x14ac:dyDescent="0.2">
      <c r="B162" s="214" t="s">
        <v>306</v>
      </c>
      <c r="C162" s="152">
        <v>48</v>
      </c>
      <c r="D162" s="215">
        <v>7477000</v>
      </c>
      <c r="E162" s="216">
        <v>0.09</v>
      </c>
      <c r="F162" s="215">
        <f t="shared" si="162"/>
        <v>8150000</v>
      </c>
      <c r="G162" s="216">
        <v>0.02</v>
      </c>
      <c r="H162" s="193">
        <f t="shared" si="163"/>
        <v>8313000</v>
      </c>
      <c r="I162" s="216">
        <v>2.5000000000000001E-2</v>
      </c>
      <c r="J162" s="193">
        <f t="shared" si="164"/>
        <v>8353750</v>
      </c>
      <c r="K162" s="195">
        <f t="shared" si="159"/>
        <v>3.8999656441717794</v>
      </c>
      <c r="L162" s="199">
        <v>31784720.000000004</v>
      </c>
      <c r="M162" s="195">
        <f t="shared" si="165"/>
        <v>9.5999141104294505</v>
      </c>
      <c r="N162" s="199">
        <v>78239300.000000015</v>
      </c>
      <c r="O162" s="199">
        <f t="shared" si="160"/>
        <v>110024020.00000001</v>
      </c>
      <c r="P162" s="141">
        <f t="shared" si="154"/>
        <v>29160293.577981651</v>
      </c>
      <c r="Q162" s="141">
        <f t="shared" si="145"/>
        <v>30909911.192660552</v>
      </c>
      <c r="R162" s="141">
        <f t="shared" si="146"/>
        <v>874808.80733945221</v>
      </c>
      <c r="S162" s="141">
        <f t="shared" si="147"/>
        <v>71779174.311926618</v>
      </c>
      <c r="T162" s="141">
        <f t="shared" si="148"/>
        <v>76085924.770642221</v>
      </c>
      <c r="U162" s="141">
        <f t="shared" si="149"/>
        <v>2153375.2293577939</v>
      </c>
      <c r="V162" s="142">
        <f t="shared" si="150"/>
        <v>3028184.0366972461</v>
      </c>
    </row>
    <row r="163" spans="2:22" x14ac:dyDescent="0.2">
      <c r="B163" s="214" t="s">
        <v>307</v>
      </c>
      <c r="C163" s="152"/>
      <c r="D163" s="215">
        <v>7400000</v>
      </c>
      <c r="E163" s="216">
        <v>0.09</v>
      </c>
      <c r="F163" s="215">
        <f t="shared" si="162"/>
        <v>8066000</v>
      </c>
      <c r="G163" s="216">
        <v>0.02</v>
      </c>
      <c r="H163" s="193">
        <f t="shared" si="163"/>
        <v>8227320</v>
      </c>
      <c r="I163" s="216">
        <v>2.5000000000000001E-2</v>
      </c>
      <c r="J163" s="193">
        <f t="shared" si="164"/>
        <v>8267650</v>
      </c>
      <c r="K163" s="195">
        <f t="shared" si="159"/>
        <v>0</v>
      </c>
      <c r="L163" s="141"/>
      <c r="M163" s="220"/>
      <c r="N163" s="141"/>
      <c r="O163" s="141">
        <f t="shared" si="160"/>
        <v>0</v>
      </c>
      <c r="P163" s="141">
        <f t="shared" si="154"/>
        <v>0</v>
      </c>
      <c r="Q163" s="141">
        <f t="shared" si="145"/>
        <v>0</v>
      </c>
      <c r="R163" s="141">
        <f t="shared" si="146"/>
        <v>0</v>
      </c>
      <c r="S163" s="141">
        <f t="shared" si="147"/>
        <v>0</v>
      </c>
      <c r="T163" s="141">
        <f t="shared" si="148"/>
        <v>0</v>
      </c>
      <c r="U163" s="141">
        <f t="shared" si="149"/>
        <v>0</v>
      </c>
      <c r="V163" s="142">
        <f t="shared" si="150"/>
        <v>0</v>
      </c>
    </row>
    <row r="164" spans="2:22" x14ac:dyDescent="0.2">
      <c r="B164" s="214" t="s">
        <v>308</v>
      </c>
      <c r="C164" s="152"/>
      <c r="D164" s="215">
        <v>7400000</v>
      </c>
      <c r="E164" s="216">
        <v>0.09</v>
      </c>
      <c r="F164" s="215">
        <f t="shared" si="162"/>
        <v>8066000</v>
      </c>
      <c r="G164" s="216">
        <v>0.02</v>
      </c>
      <c r="H164" s="193">
        <f t="shared" si="163"/>
        <v>8227320</v>
      </c>
      <c r="I164" s="216">
        <v>2.5000000000000001E-2</v>
      </c>
      <c r="J164" s="193">
        <f t="shared" si="164"/>
        <v>8267650</v>
      </c>
      <c r="K164" s="195">
        <f t="shared" si="159"/>
        <v>0</v>
      </c>
      <c r="L164" s="141"/>
      <c r="M164" s="220"/>
      <c r="N164" s="141"/>
      <c r="O164" s="141">
        <f t="shared" si="160"/>
        <v>0</v>
      </c>
      <c r="P164" s="141">
        <f t="shared" si="154"/>
        <v>0</v>
      </c>
      <c r="Q164" s="141">
        <f t="shared" si="145"/>
        <v>0</v>
      </c>
      <c r="R164" s="141">
        <f t="shared" si="146"/>
        <v>0</v>
      </c>
      <c r="S164" s="141">
        <f t="shared" si="147"/>
        <v>0</v>
      </c>
      <c r="T164" s="141">
        <f t="shared" si="148"/>
        <v>0</v>
      </c>
      <c r="U164" s="141">
        <f t="shared" si="149"/>
        <v>0</v>
      </c>
      <c r="V164" s="142">
        <f t="shared" si="150"/>
        <v>0</v>
      </c>
    </row>
    <row r="165" spans="2:22" x14ac:dyDescent="0.2">
      <c r="B165" s="214" t="s">
        <v>309</v>
      </c>
      <c r="C165" s="152"/>
      <c r="D165" s="215">
        <v>6988000</v>
      </c>
      <c r="E165" s="216">
        <v>0.09</v>
      </c>
      <c r="F165" s="215">
        <f t="shared" si="162"/>
        <v>7617000</v>
      </c>
      <c r="G165" s="216">
        <v>0.02</v>
      </c>
      <c r="H165" s="193">
        <f t="shared" si="163"/>
        <v>7769340</v>
      </c>
      <c r="I165" s="216">
        <v>2.5000000000000001E-2</v>
      </c>
      <c r="J165" s="193">
        <f t="shared" si="164"/>
        <v>7807425</v>
      </c>
      <c r="K165" s="195">
        <f t="shared" si="159"/>
        <v>0</v>
      </c>
      <c r="L165" s="141"/>
      <c r="M165" s="220"/>
      <c r="N165" s="141"/>
      <c r="O165" s="141">
        <f t="shared" si="160"/>
        <v>0</v>
      </c>
      <c r="P165" s="141">
        <f t="shared" si="154"/>
        <v>0</v>
      </c>
      <c r="Q165" s="141">
        <f t="shared" si="145"/>
        <v>0</v>
      </c>
      <c r="R165" s="141">
        <f t="shared" si="146"/>
        <v>0</v>
      </c>
      <c r="S165" s="141">
        <f t="shared" si="147"/>
        <v>0</v>
      </c>
      <c r="T165" s="141">
        <f t="shared" si="148"/>
        <v>0</v>
      </c>
      <c r="U165" s="141">
        <f t="shared" si="149"/>
        <v>0</v>
      </c>
      <c r="V165" s="142">
        <f t="shared" si="150"/>
        <v>0</v>
      </c>
    </row>
    <row r="166" spans="2:22" x14ac:dyDescent="0.2">
      <c r="B166" s="221" t="s">
        <v>486</v>
      </c>
      <c r="C166" s="152"/>
      <c r="D166" s="215"/>
      <c r="E166" s="216"/>
      <c r="F166" s="215">
        <v>9500000</v>
      </c>
      <c r="G166" s="216"/>
      <c r="H166" s="193"/>
      <c r="I166" s="216"/>
      <c r="J166" s="193"/>
      <c r="K166" s="195">
        <f t="shared" si="159"/>
        <v>0</v>
      </c>
      <c r="L166" s="141">
        <v>0</v>
      </c>
      <c r="M166" s="195">
        <f t="shared" ref="M166" si="166">+N166/F166</f>
        <v>9.8000000000000007</v>
      </c>
      <c r="N166" s="199">
        <v>93100000</v>
      </c>
      <c r="O166" s="199">
        <f t="shared" si="160"/>
        <v>93100000</v>
      </c>
      <c r="P166" s="141">
        <f t="shared" si="154"/>
        <v>0</v>
      </c>
      <c r="Q166" s="141">
        <f t="shared" si="145"/>
        <v>0</v>
      </c>
      <c r="R166" s="141">
        <f t="shared" si="146"/>
        <v>0</v>
      </c>
      <c r="S166" s="141">
        <f t="shared" si="147"/>
        <v>93100000</v>
      </c>
      <c r="T166" s="141">
        <f t="shared" si="148"/>
        <v>98686000</v>
      </c>
      <c r="U166" s="141">
        <f t="shared" si="149"/>
        <v>-5586000</v>
      </c>
      <c r="V166" s="142">
        <f t="shared" si="150"/>
        <v>-5586000</v>
      </c>
    </row>
    <row r="167" spans="2:22" x14ac:dyDescent="0.2">
      <c r="B167" s="217" t="s">
        <v>529</v>
      </c>
      <c r="C167" s="152"/>
      <c r="D167" s="215"/>
      <c r="E167" s="216"/>
      <c r="F167" s="215"/>
      <c r="G167" s="152"/>
      <c r="H167" s="141"/>
      <c r="I167" s="152"/>
      <c r="J167" s="141"/>
      <c r="K167" s="218"/>
      <c r="L167" s="141"/>
      <c r="M167" s="218"/>
      <c r="N167" s="141"/>
      <c r="O167" s="141"/>
      <c r="P167" s="141"/>
      <c r="Q167" s="141"/>
      <c r="R167" s="141"/>
      <c r="S167" s="141"/>
      <c r="T167" s="141"/>
      <c r="U167" s="141"/>
      <c r="V167" s="142"/>
    </row>
    <row r="168" spans="2:22" x14ac:dyDescent="0.2">
      <c r="B168" s="214" t="s">
        <v>310</v>
      </c>
      <c r="C168" s="152">
        <v>22</v>
      </c>
      <c r="D168" s="215">
        <v>5115000</v>
      </c>
      <c r="E168" s="216">
        <v>0.09</v>
      </c>
      <c r="F168" s="215">
        <f>+ROUND((D168*E168)+D168,-3)</f>
        <v>5575000</v>
      </c>
      <c r="G168" s="216">
        <v>0.02</v>
      </c>
      <c r="H168" s="193">
        <f>+(F168*G168)+F168</f>
        <v>5686500</v>
      </c>
      <c r="I168" s="216">
        <v>2.5000000000000001E-2</v>
      </c>
      <c r="J168" s="193">
        <f>+(F168*I168)+F168</f>
        <v>5714375</v>
      </c>
      <c r="K168" s="195">
        <f t="shared" ref="K168:K231" si="167">+L168/F168</f>
        <v>0</v>
      </c>
      <c r="L168" s="141"/>
      <c r="M168" s="218"/>
      <c r="N168" s="141"/>
      <c r="O168" s="141">
        <f t="shared" si="160"/>
        <v>0</v>
      </c>
      <c r="P168" s="141">
        <f t="shared" si="154"/>
        <v>0</v>
      </c>
      <c r="Q168" s="141">
        <f t="shared" si="145"/>
        <v>0</v>
      </c>
      <c r="R168" s="141">
        <f t="shared" si="146"/>
        <v>0</v>
      </c>
      <c r="S168" s="141">
        <f t="shared" si="147"/>
        <v>0</v>
      </c>
      <c r="T168" s="141">
        <f t="shared" si="148"/>
        <v>0</v>
      </c>
      <c r="U168" s="141">
        <f t="shared" si="149"/>
        <v>0</v>
      </c>
      <c r="V168" s="142">
        <f t="shared" si="150"/>
        <v>0</v>
      </c>
    </row>
    <row r="169" spans="2:22" x14ac:dyDescent="0.2">
      <c r="B169" s="214" t="s">
        <v>312</v>
      </c>
      <c r="C169" s="152">
        <v>50</v>
      </c>
      <c r="D169" s="215">
        <v>9221000</v>
      </c>
      <c r="E169" s="216">
        <v>0.09</v>
      </c>
      <c r="F169" s="215">
        <f>+ROUND((D169*E169)+D169,-3)</f>
        <v>10051000</v>
      </c>
      <c r="G169" s="216">
        <v>0.02</v>
      </c>
      <c r="H169" s="193">
        <f>+(F169*G169)+F169</f>
        <v>10252020</v>
      </c>
      <c r="I169" s="216">
        <v>2.5000000000000001E-2</v>
      </c>
      <c r="J169" s="193">
        <f>+(F169*I169)+F169</f>
        <v>10302275</v>
      </c>
      <c r="K169" s="195">
        <f t="shared" si="167"/>
        <v>16.497553477265942</v>
      </c>
      <c r="L169" s="199">
        <v>165816910</v>
      </c>
      <c r="M169" s="195">
        <f t="shared" ref="M169:M229" si="168">+N169/F169</f>
        <v>34.517343547905682</v>
      </c>
      <c r="N169" s="199">
        <v>346933820</v>
      </c>
      <c r="O169" s="199">
        <f t="shared" si="160"/>
        <v>512750730</v>
      </c>
      <c r="P169" s="141">
        <f t="shared" si="154"/>
        <v>152125605.50458714</v>
      </c>
      <c r="Q169" s="141">
        <f t="shared" si="145"/>
        <v>161253141.83486238</v>
      </c>
      <c r="R169" s="141">
        <f t="shared" si="146"/>
        <v>4563768.1651376188</v>
      </c>
      <c r="S169" s="141">
        <f t="shared" si="147"/>
        <v>318287908.2568807</v>
      </c>
      <c r="T169" s="141">
        <f t="shared" si="148"/>
        <v>337385182.75229353</v>
      </c>
      <c r="U169" s="141">
        <f t="shared" si="149"/>
        <v>9548637.2477064729</v>
      </c>
      <c r="V169" s="142">
        <f t="shared" si="150"/>
        <v>14112405.412844092</v>
      </c>
    </row>
    <row r="170" spans="2:22" x14ac:dyDescent="0.2">
      <c r="B170" s="214" t="s">
        <v>311</v>
      </c>
      <c r="C170" s="152">
        <v>48</v>
      </c>
      <c r="D170" s="215">
        <v>9031000</v>
      </c>
      <c r="E170" s="216">
        <v>6.5000000000000002E-2</v>
      </c>
      <c r="F170" s="215">
        <f>+ROUND((D170*E170)+D170,-3)</f>
        <v>9618000</v>
      </c>
      <c r="G170" s="216">
        <v>0.02</v>
      </c>
      <c r="H170" s="193">
        <f>+(F170*G170)+F170</f>
        <v>9810360</v>
      </c>
      <c r="I170" s="216">
        <v>2.5000000000000001E-2</v>
      </c>
      <c r="J170" s="193">
        <f>+(F170*I170)+F170</f>
        <v>9858450</v>
      </c>
      <c r="K170" s="195">
        <f t="shared" si="167"/>
        <v>31.465016115616553</v>
      </c>
      <c r="L170" s="199">
        <v>302630525</v>
      </c>
      <c r="M170" s="195">
        <f t="shared" si="168"/>
        <v>23.024576315242253</v>
      </c>
      <c r="N170" s="199">
        <v>221450375</v>
      </c>
      <c r="O170" s="199">
        <f t="shared" si="160"/>
        <v>524080900</v>
      </c>
      <c r="P170" s="141">
        <f t="shared" si="154"/>
        <v>284160117.37089205</v>
      </c>
      <c r="Q170" s="141">
        <f t="shared" si="145"/>
        <v>301209724.41314554</v>
      </c>
      <c r="R170" s="141">
        <f t="shared" si="146"/>
        <v>1420800.5868544579</v>
      </c>
      <c r="S170" s="141">
        <f t="shared" si="147"/>
        <v>207934624.41314554</v>
      </c>
      <c r="T170" s="141">
        <f t="shared" si="148"/>
        <v>220410701.87793428</v>
      </c>
      <c r="U170" s="141">
        <f t="shared" si="149"/>
        <v>1039673.1220657229</v>
      </c>
      <c r="V170" s="142">
        <f t="shared" si="150"/>
        <v>2460473.7089201808</v>
      </c>
    </row>
    <row r="171" spans="2:22" x14ac:dyDescent="0.2">
      <c r="B171" s="217" t="s">
        <v>530</v>
      </c>
      <c r="C171" s="152"/>
      <c r="D171" s="215"/>
      <c r="E171" s="216"/>
      <c r="F171" s="215"/>
      <c r="G171" s="152"/>
      <c r="H171" s="141"/>
      <c r="I171" s="152"/>
      <c r="J171" s="141"/>
      <c r="K171" s="218"/>
      <c r="L171" s="141"/>
      <c r="M171" s="218"/>
      <c r="N171" s="141"/>
      <c r="O171" s="141"/>
      <c r="P171" s="141"/>
      <c r="Q171" s="141"/>
      <c r="R171" s="141"/>
      <c r="S171" s="141"/>
      <c r="T171" s="141"/>
      <c r="U171" s="141"/>
      <c r="V171" s="142"/>
    </row>
    <row r="172" spans="2:22" x14ac:dyDescent="0.2">
      <c r="B172" s="214" t="s">
        <v>316</v>
      </c>
      <c r="C172" s="152">
        <v>103</v>
      </c>
      <c r="D172" s="215">
        <v>12418000</v>
      </c>
      <c r="E172" s="216">
        <v>0.09</v>
      </c>
      <c r="F172" s="215">
        <f>+ROUND((D172*E172)+D172,-3)</f>
        <v>13536000</v>
      </c>
      <c r="G172" s="216">
        <v>0.02</v>
      </c>
      <c r="H172" s="193">
        <f>+(F172*G172)+F172</f>
        <v>13806720</v>
      </c>
      <c r="I172" s="216">
        <v>2.5000000000000001E-2</v>
      </c>
      <c r="J172" s="193">
        <f>+(F172*I172)+F172</f>
        <v>13874400</v>
      </c>
      <c r="K172" s="195">
        <f t="shared" si="167"/>
        <v>23.999326241134757</v>
      </c>
      <c r="L172" s="199">
        <v>324854880.00000006</v>
      </c>
      <c r="M172" s="195">
        <f t="shared" si="168"/>
        <v>18.999466607565015</v>
      </c>
      <c r="N172" s="199">
        <v>257176780.00000006</v>
      </c>
      <c r="O172" s="199">
        <f t="shared" si="160"/>
        <v>582031660.00000012</v>
      </c>
      <c r="P172" s="141">
        <f t="shared" si="154"/>
        <v>298032000.00000006</v>
      </c>
      <c r="Q172" s="141">
        <f t="shared" si="145"/>
        <v>315913920.00000006</v>
      </c>
      <c r="R172" s="141">
        <f t="shared" si="146"/>
        <v>8940960</v>
      </c>
      <c r="S172" s="141">
        <f t="shared" si="147"/>
        <v>235942000.00000003</v>
      </c>
      <c r="T172" s="141">
        <f t="shared" si="148"/>
        <v>250098520.00000003</v>
      </c>
      <c r="U172" s="141">
        <f t="shared" si="149"/>
        <v>7078260.0000000298</v>
      </c>
      <c r="V172" s="142">
        <f t="shared" si="150"/>
        <v>16019220.00000003</v>
      </c>
    </row>
    <row r="173" spans="2:22" x14ac:dyDescent="0.2">
      <c r="B173" s="214" t="s">
        <v>315</v>
      </c>
      <c r="C173" s="152">
        <v>45</v>
      </c>
      <c r="D173" s="215">
        <v>7687000</v>
      </c>
      <c r="E173" s="216">
        <v>5.5E-2</v>
      </c>
      <c r="F173" s="215">
        <f>+ROUND((D173*E173)+D173,-3)</f>
        <v>8110000</v>
      </c>
      <c r="G173" s="219">
        <v>0.01</v>
      </c>
      <c r="H173" s="193">
        <f>+(F173*G173)+F173</f>
        <v>8191100</v>
      </c>
      <c r="I173" s="152"/>
      <c r="J173" s="141"/>
      <c r="K173" s="195">
        <f t="shared" si="167"/>
        <v>44.382284217016021</v>
      </c>
      <c r="L173" s="199">
        <v>359940324.99999994</v>
      </c>
      <c r="M173" s="195">
        <f t="shared" si="168"/>
        <v>35.135913686806404</v>
      </c>
      <c r="N173" s="199">
        <v>284952259.99999994</v>
      </c>
      <c r="O173" s="199">
        <f t="shared" si="160"/>
        <v>644892584.99999988</v>
      </c>
      <c r="P173" s="141">
        <f t="shared" si="154"/>
        <v>341175663.50710899</v>
      </c>
      <c r="Q173" s="141">
        <f t="shared" si="145"/>
        <v>361646203.31753552</v>
      </c>
      <c r="R173" s="141">
        <f t="shared" si="146"/>
        <v>-1705878.3175355792</v>
      </c>
      <c r="S173" s="141">
        <f t="shared" si="147"/>
        <v>270096928.90995258</v>
      </c>
      <c r="T173" s="141">
        <f t="shared" si="148"/>
        <v>286302744.64454973</v>
      </c>
      <c r="U173" s="141">
        <f t="shared" si="149"/>
        <v>-1350484.644549787</v>
      </c>
      <c r="V173" s="142">
        <f t="shared" si="150"/>
        <v>-3056362.9620853662</v>
      </c>
    </row>
    <row r="174" spans="2:22" x14ac:dyDescent="0.2">
      <c r="B174" s="214" t="s">
        <v>314</v>
      </c>
      <c r="C174" s="152">
        <v>44</v>
      </c>
      <c r="D174" s="215">
        <v>7504000</v>
      </c>
      <c r="E174" s="216">
        <v>0.09</v>
      </c>
      <c r="F174" s="215">
        <f>+ROUND((D174*E174)+D174,-3)</f>
        <v>8179000</v>
      </c>
      <c r="G174" s="219">
        <v>0.01</v>
      </c>
      <c r="H174" s="193">
        <f>+(F174*G174)+F174</f>
        <v>8260790</v>
      </c>
      <c r="I174" s="152"/>
      <c r="J174" s="141"/>
      <c r="K174" s="195">
        <f t="shared" si="167"/>
        <v>24.353071891429273</v>
      </c>
      <c r="L174" s="199">
        <v>199183775.00000003</v>
      </c>
      <c r="M174" s="195">
        <f t="shared" si="168"/>
        <v>20.500902310795944</v>
      </c>
      <c r="N174" s="199">
        <v>167676880.00000003</v>
      </c>
      <c r="O174" s="199">
        <f t="shared" si="160"/>
        <v>366860655.00000006</v>
      </c>
      <c r="P174" s="141">
        <f t="shared" si="154"/>
        <v>182737408.25688076</v>
      </c>
      <c r="Q174" s="141">
        <f t="shared" si="145"/>
        <v>193701652.75229362</v>
      </c>
      <c r="R174" s="141">
        <f t="shared" si="146"/>
        <v>5482122.2477064133</v>
      </c>
      <c r="S174" s="141">
        <f t="shared" si="147"/>
        <v>153832000.00000003</v>
      </c>
      <c r="T174" s="141">
        <f t="shared" si="148"/>
        <v>163061920.00000003</v>
      </c>
      <c r="U174" s="141">
        <f t="shared" si="149"/>
        <v>4614960</v>
      </c>
      <c r="V174" s="142">
        <f t="shared" si="150"/>
        <v>10097082.247706413</v>
      </c>
    </row>
    <row r="175" spans="2:22" x14ac:dyDescent="0.2">
      <c r="B175" s="214" t="s">
        <v>313</v>
      </c>
      <c r="C175" s="152">
        <v>55</v>
      </c>
      <c r="D175" s="215">
        <v>7687000</v>
      </c>
      <c r="E175" s="216">
        <v>0.09</v>
      </c>
      <c r="F175" s="215">
        <f>+ROUND((D175*E175)+D175,-3)</f>
        <v>8379000</v>
      </c>
      <c r="G175" s="219">
        <v>0.01</v>
      </c>
      <c r="H175" s="193">
        <f>+(F175*G175)+F175</f>
        <v>8462790</v>
      </c>
      <c r="I175" s="152"/>
      <c r="J175" s="141"/>
      <c r="K175" s="195">
        <f t="shared" si="167"/>
        <v>39.399212555197522</v>
      </c>
      <c r="L175" s="199">
        <v>330126002.00000006</v>
      </c>
      <c r="M175" s="195">
        <f t="shared" si="168"/>
        <v>31.399362931137372</v>
      </c>
      <c r="N175" s="199">
        <v>263095262.00000003</v>
      </c>
      <c r="O175" s="199">
        <f t="shared" si="160"/>
        <v>593221264.00000012</v>
      </c>
      <c r="P175" s="141">
        <f t="shared" si="154"/>
        <v>302867891.7431193</v>
      </c>
      <c r="Q175" s="141">
        <f t="shared" si="145"/>
        <v>321039965.24770647</v>
      </c>
      <c r="R175" s="141">
        <f t="shared" si="146"/>
        <v>9086036.7522935867</v>
      </c>
      <c r="S175" s="141">
        <f t="shared" si="147"/>
        <v>241371800</v>
      </c>
      <c r="T175" s="141">
        <f t="shared" si="148"/>
        <v>255854108</v>
      </c>
      <c r="U175" s="141">
        <f t="shared" si="149"/>
        <v>7241154.0000000298</v>
      </c>
      <c r="V175" s="142">
        <f t="shared" si="150"/>
        <v>16327190.752293617</v>
      </c>
    </row>
    <row r="176" spans="2:22" x14ac:dyDescent="0.2">
      <c r="B176" s="217" t="s">
        <v>531</v>
      </c>
      <c r="C176" s="152"/>
      <c r="D176" s="215"/>
      <c r="E176" s="216"/>
      <c r="F176" s="215"/>
      <c r="G176" s="152"/>
      <c r="H176" s="141"/>
      <c r="I176" s="152"/>
      <c r="J176" s="141"/>
      <c r="K176" s="218"/>
      <c r="L176" s="141"/>
      <c r="M176" s="218"/>
      <c r="N176" s="141"/>
      <c r="O176" s="141"/>
      <c r="P176" s="141"/>
      <c r="Q176" s="141"/>
      <c r="R176" s="141"/>
      <c r="S176" s="141"/>
      <c r="T176" s="141"/>
      <c r="U176" s="141"/>
      <c r="V176" s="142"/>
    </row>
    <row r="177" spans="2:22" x14ac:dyDescent="0.2">
      <c r="B177" s="214" t="s">
        <v>317</v>
      </c>
      <c r="C177" s="152">
        <v>40</v>
      </c>
      <c r="D177" s="215">
        <v>6402000</v>
      </c>
      <c r="E177" s="216">
        <v>0.09</v>
      </c>
      <c r="F177" s="215">
        <f t="shared" ref="F177:F178" si="169">+ROUND((D177*E177)+D177,-3)</f>
        <v>6978000</v>
      </c>
      <c r="G177" s="216">
        <v>0.02</v>
      </c>
      <c r="H177" s="193">
        <f t="shared" ref="H177:H178" si="170">+(F177*G177)+F177</f>
        <v>7117560</v>
      </c>
      <c r="I177" s="216">
        <v>2.5000000000000001E-2</v>
      </c>
      <c r="J177" s="193">
        <f t="shared" ref="J177:J178" si="171">+(F177*I177)+F177</f>
        <v>7152450</v>
      </c>
      <c r="K177" s="195">
        <f t="shared" si="167"/>
        <v>34.000877042132423</v>
      </c>
      <c r="L177" s="199">
        <v>237258120.00000003</v>
      </c>
      <c r="M177" s="195">
        <f t="shared" si="168"/>
        <v>34.000877042132423</v>
      </c>
      <c r="N177" s="199">
        <v>237258120.00000003</v>
      </c>
      <c r="O177" s="199">
        <f t="shared" si="160"/>
        <v>474516240.00000006</v>
      </c>
      <c r="P177" s="141">
        <f t="shared" si="154"/>
        <v>217668000</v>
      </c>
      <c r="Q177" s="141">
        <f t="shared" si="145"/>
        <v>230728080</v>
      </c>
      <c r="R177" s="141">
        <f t="shared" si="146"/>
        <v>6530040.0000000298</v>
      </c>
      <c r="S177" s="141">
        <f t="shared" si="147"/>
        <v>217668000</v>
      </c>
      <c r="T177" s="141">
        <f t="shared" si="148"/>
        <v>230728080</v>
      </c>
      <c r="U177" s="141">
        <f t="shared" si="149"/>
        <v>6530040.0000000298</v>
      </c>
      <c r="V177" s="142">
        <f t="shared" si="150"/>
        <v>13060080.00000006</v>
      </c>
    </row>
    <row r="178" spans="2:22" x14ac:dyDescent="0.2">
      <c r="B178" s="214" t="s">
        <v>318</v>
      </c>
      <c r="C178" s="152">
        <v>52</v>
      </c>
      <c r="D178" s="215">
        <v>10590000</v>
      </c>
      <c r="E178" s="216">
        <v>0.09</v>
      </c>
      <c r="F178" s="215">
        <f t="shared" si="169"/>
        <v>11543000</v>
      </c>
      <c r="G178" s="216">
        <v>0.02</v>
      </c>
      <c r="H178" s="193">
        <f t="shared" si="170"/>
        <v>11773860</v>
      </c>
      <c r="I178" s="216">
        <v>2.5000000000000001E-2</v>
      </c>
      <c r="J178" s="193">
        <f t="shared" si="171"/>
        <v>11831575</v>
      </c>
      <c r="K178" s="195">
        <f t="shared" si="167"/>
        <v>12.000103959109417</v>
      </c>
      <c r="L178" s="199">
        <v>138517200</v>
      </c>
      <c r="M178" s="195">
        <f t="shared" si="168"/>
        <v>12.000103959109417</v>
      </c>
      <c r="N178" s="199">
        <v>138517200</v>
      </c>
      <c r="O178" s="199">
        <f t="shared" si="160"/>
        <v>277034400</v>
      </c>
      <c r="P178" s="141">
        <f t="shared" si="154"/>
        <v>127079999.99999999</v>
      </c>
      <c r="Q178" s="141">
        <f t="shared" si="145"/>
        <v>134704799.99999997</v>
      </c>
      <c r="R178" s="141">
        <f t="shared" si="146"/>
        <v>3812400.0000000298</v>
      </c>
      <c r="S178" s="141">
        <f t="shared" si="147"/>
        <v>127079999.99999999</v>
      </c>
      <c r="T178" s="141">
        <f t="shared" si="148"/>
        <v>134704799.99999997</v>
      </c>
      <c r="U178" s="141">
        <f t="shared" si="149"/>
        <v>3812400.0000000298</v>
      </c>
      <c r="V178" s="142">
        <f t="shared" si="150"/>
        <v>7624800.0000000596</v>
      </c>
    </row>
    <row r="179" spans="2:22" x14ac:dyDescent="0.2">
      <c r="B179" s="217" t="s">
        <v>532</v>
      </c>
      <c r="C179" s="152"/>
      <c r="D179" s="215"/>
      <c r="E179" s="216"/>
      <c r="F179" s="215"/>
      <c r="G179" s="152"/>
      <c r="H179" s="141"/>
      <c r="I179" s="152"/>
      <c r="J179" s="141"/>
      <c r="K179" s="218"/>
      <c r="L179" s="141"/>
      <c r="M179" s="218"/>
      <c r="N179" s="141"/>
      <c r="O179" s="141"/>
      <c r="P179" s="141"/>
      <c r="Q179" s="141"/>
      <c r="R179" s="141"/>
      <c r="S179" s="141"/>
      <c r="T179" s="141"/>
      <c r="U179" s="141"/>
      <c r="V179" s="142"/>
    </row>
    <row r="180" spans="2:22" x14ac:dyDescent="0.2">
      <c r="B180" s="214" t="s">
        <v>324</v>
      </c>
      <c r="C180" s="152">
        <v>120</v>
      </c>
      <c r="D180" s="215">
        <v>13361000</v>
      </c>
      <c r="E180" s="216">
        <v>5.5E-2</v>
      </c>
      <c r="F180" s="215">
        <f t="shared" ref="F180:F193" si="172">+ROUND((D180*E180)+D180,-3)</f>
        <v>14096000</v>
      </c>
      <c r="G180" s="216">
        <v>0.02</v>
      </c>
      <c r="H180" s="193">
        <f t="shared" ref="H180:H193" si="173">+(F180*G180)+F180</f>
        <v>14377920</v>
      </c>
      <c r="I180" s="216">
        <v>2.5000000000000001E-2</v>
      </c>
      <c r="J180" s="193">
        <f t="shared" ref="J180:J193" si="174">+(F180*I180)+F180</f>
        <v>14448400</v>
      </c>
      <c r="K180" s="195">
        <f t="shared" si="167"/>
        <v>43.312309520431327</v>
      </c>
      <c r="L180" s="199">
        <v>610530315</v>
      </c>
      <c r="M180" s="195">
        <f t="shared" si="168"/>
        <v>41.734126702610666</v>
      </c>
      <c r="N180" s="199">
        <v>588284250</v>
      </c>
      <c r="O180" s="199">
        <f t="shared" si="160"/>
        <v>1198814565</v>
      </c>
      <c r="P180" s="141">
        <f t="shared" si="154"/>
        <v>578701720.37914693</v>
      </c>
      <c r="Q180" s="141">
        <f t="shared" si="145"/>
        <v>613423823.60189581</v>
      </c>
      <c r="R180" s="141">
        <f t="shared" si="146"/>
        <v>-2893508.6018958092</v>
      </c>
      <c r="S180" s="141">
        <f t="shared" si="147"/>
        <v>557615402.84360194</v>
      </c>
      <c r="T180" s="141">
        <f t="shared" si="148"/>
        <v>591072327.01421809</v>
      </c>
      <c r="U180" s="141">
        <f t="shared" si="149"/>
        <v>-2788077.014218092</v>
      </c>
      <c r="V180" s="142">
        <f t="shared" si="150"/>
        <v>-5681585.6161139011</v>
      </c>
    </row>
    <row r="181" spans="2:22" x14ac:dyDescent="0.2">
      <c r="B181" s="214" t="s">
        <v>321</v>
      </c>
      <c r="C181" s="152">
        <v>24</v>
      </c>
      <c r="D181" s="215">
        <v>10222000</v>
      </c>
      <c r="E181" s="216">
        <v>0.09</v>
      </c>
      <c r="F181" s="215">
        <f t="shared" si="172"/>
        <v>11142000</v>
      </c>
      <c r="G181" s="216">
        <v>0.02</v>
      </c>
      <c r="H181" s="193">
        <f t="shared" si="173"/>
        <v>11364840</v>
      </c>
      <c r="I181" s="216">
        <v>2.5000000000000001E-2</v>
      </c>
      <c r="J181" s="193">
        <f t="shared" si="174"/>
        <v>11420550</v>
      </c>
      <c r="K181" s="195">
        <f t="shared" si="167"/>
        <v>79.499856399210202</v>
      </c>
      <c r="L181" s="199">
        <v>885787400</v>
      </c>
      <c r="M181" s="195">
        <f t="shared" si="168"/>
        <v>73.499867169269436</v>
      </c>
      <c r="N181" s="199">
        <v>818935520</v>
      </c>
      <c r="O181" s="199">
        <f t="shared" si="160"/>
        <v>1704722920</v>
      </c>
      <c r="P181" s="141">
        <f t="shared" si="154"/>
        <v>812648990.825688</v>
      </c>
      <c r="Q181" s="141">
        <f t="shared" si="145"/>
        <v>861407930.27522933</v>
      </c>
      <c r="R181" s="141">
        <f t="shared" si="146"/>
        <v>24379469.724770665</v>
      </c>
      <c r="S181" s="141">
        <f t="shared" si="147"/>
        <v>751316990.825688</v>
      </c>
      <c r="T181" s="141">
        <f t="shared" si="148"/>
        <v>796396010.27522933</v>
      </c>
      <c r="U181" s="141">
        <f t="shared" si="149"/>
        <v>22539509.724770665</v>
      </c>
      <c r="V181" s="142">
        <f t="shared" si="150"/>
        <v>46918979.44954133</v>
      </c>
    </row>
    <row r="182" spans="2:22" x14ac:dyDescent="0.2">
      <c r="B182" s="214" t="s">
        <v>487</v>
      </c>
      <c r="C182" s="152">
        <v>24</v>
      </c>
      <c r="D182" s="215">
        <v>9729000</v>
      </c>
      <c r="E182" s="216">
        <v>6.5000000000000002E-2</v>
      </c>
      <c r="F182" s="215">
        <f t="shared" si="172"/>
        <v>10361000</v>
      </c>
      <c r="G182" s="216">
        <v>0.02</v>
      </c>
      <c r="H182" s="193">
        <f t="shared" si="173"/>
        <v>10568220</v>
      </c>
      <c r="I182" s="216">
        <v>2.5000000000000001E-2</v>
      </c>
      <c r="J182" s="193">
        <f t="shared" si="174"/>
        <v>10620025</v>
      </c>
      <c r="K182" s="195">
        <f t="shared" si="167"/>
        <v>36.795714096129714</v>
      </c>
      <c r="L182" s="199">
        <v>381240393.75</v>
      </c>
      <c r="M182" s="195">
        <f t="shared" si="168"/>
        <v>38.591027048547438</v>
      </c>
      <c r="N182" s="199">
        <v>399841631.25</v>
      </c>
      <c r="O182" s="199">
        <f t="shared" si="160"/>
        <v>781082025</v>
      </c>
      <c r="P182" s="141">
        <f t="shared" si="154"/>
        <v>357972200.70422536</v>
      </c>
      <c r="Q182" s="141">
        <f t="shared" si="145"/>
        <v>379450532.74647886</v>
      </c>
      <c r="R182" s="141">
        <f t="shared" si="146"/>
        <v>1789861.0035211444</v>
      </c>
      <c r="S182" s="141">
        <f t="shared" si="147"/>
        <v>375438151.40845072</v>
      </c>
      <c r="T182" s="141">
        <f t="shared" si="148"/>
        <v>397964440.49295777</v>
      </c>
      <c r="U182" s="141">
        <f t="shared" si="149"/>
        <v>1877190.7570422292</v>
      </c>
      <c r="V182" s="142">
        <f t="shared" si="150"/>
        <v>3667051.7605633736</v>
      </c>
    </row>
    <row r="183" spans="2:22" x14ac:dyDescent="0.2">
      <c r="B183" s="214" t="s">
        <v>319</v>
      </c>
      <c r="C183" s="152">
        <v>27</v>
      </c>
      <c r="D183" s="215">
        <v>10222000</v>
      </c>
      <c r="E183" s="216">
        <v>6.5000000000000002E-2</v>
      </c>
      <c r="F183" s="215">
        <f t="shared" si="172"/>
        <v>10886000</v>
      </c>
      <c r="G183" s="216">
        <v>0.02</v>
      </c>
      <c r="H183" s="193">
        <f t="shared" si="173"/>
        <v>11103720</v>
      </c>
      <c r="I183" s="216">
        <v>2.5000000000000001E-2</v>
      </c>
      <c r="J183" s="193">
        <f t="shared" si="174"/>
        <v>11158150</v>
      </c>
      <c r="K183" s="195">
        <f t="shared" si="167"/>
        <v>61.036683171045382</v>
      </c>
      <c r="L183" s="199">
        <v>664445333</v>
      </c>
      <c r="M183" s="195">
        <f t="shared" si="168"/>
        <v>72.06998282197317</v>
      </c>
      <c r="N183" s="199">
        <v>784553833</v>
      </c>
      <c r="O183" s="199">
        <f t="shared" si="160"/>
        <v>1448999166</v>
      </c>
      <c r="P183" s="141">
        <f t="shared" si="154"/>
        <v>623892331.45539904</v>
      </c>
      <c r="Q183" s="141">
        <f t="shared" si="145"/>
        <v>661325871.34272301</v>
      </c>
      <c r="R183" s="141">
        <f t="shared" si="146"/>
        <v>3119461.657276988</v>
      </c>
      <c r="S183" s="141">
        <f t="shared" si="147"/>
        <v>736670265.72769952</v>
      </c>
      <c r="T183" s="141">
        <f t="shared" si="148"/>
        <v>780870481.67136145</v>
      </c>
      <c r="U183" s="141">
        <f t="shared" si="149"/>
        <v>3683351.3286385536</v>
      </c>
      <c r="V183" s="142">
        <f t="shared" si="150"/>
        <v>6802812.9859155416</v>
      </c>
    </row>
    <row r="184" spans="2:22" x14ac:dyDescent="0.2">
      <c r="B184" s="214" t="s">
        <v>488</v>
      </c>
      <c r="C184" s="152">
        <v>24</v>
      </c>
      <c r="D184" s="215">
        <v>10222000</v>
      </c>
      <c r="E184" s="216">
        <v>0</v>
      </c>
      <c r="F184" s="215">
        <f t="shared" si="172"/>
        <v>10222000</v>
      </c>
      <c r="G184" s="216">
        <v>0.02</v>
      </c>
      <c r="H184" s="193">
        <f t="shared" si="173"/>
        <v>10426440</v>
      </c>
      <c r="I184" s="216">
        <v>2.5000000000000001E-2</v>
      </c>
      <c r="J184" s="193">
        <f t="shared" si="174"/>
        <v>10477550</v>
      </c>
      <c r="K184" s="195">
        <f t="shared" si="167"/>
        <v>21.8</v>
      </c>
      <c r="L184" s="199">
        <v>222839600</v>
      </c>
      <c r="M184" s="195">
        <f t="shared" si="168"/>
        <v>14.1</v>
      </c>
      <c r="N184" s="199">
        <v>144130200</v>
      </c>
      <c r="O184" s="199">
        <f t="shared" si="160"/>
        <v>366969800</v>
      </c>
      <c r="P184" s="141">
        <f t="shared" si="154"/>
        <v>222839600</v>
      </c>
      <c r="Q184" s="141">
        <f t="shared" si="145"/>
        <v>236209976</v>
      </c>
      <c r="R184" s="141">
        <f t="shared" si="146"/>
        <v>-13370376</v>
      </c>
      <c r="S184" s="141">
        <f t="shared" si="147"/>
        <v>144130200</v>
      </c>
      <c r="T184" s="141">
        <f t="shared" si="148"/>
        <v>152778012</v>
      </c>
      <c r="U184" s="141">
        <f t="shared" si="149"/>
        <v>-8647812</v>
      </c>
      <c r="V184" s="142">
        <f t="shared" si="150"/>
        <v>-22018188</v>
      </c>
    </row>
    <row r="185" spans="2:22" x14ac:dyDescent="0.2">
      <c r="B185" s="214" t="s">
        <v>320</v>
      </c>
      <c r="C185" s="152">
        <v>30</v>
      </c>
      <c r="D185" s="215">
        <v>10222000</v>
      </c>
      <c r="E185" s="216">
        <v>0.09</v>
      </c>
      <c r="F185" s="215">
        <f t="shared" si="172"/>
        <v>11142000</v>
      </c>
      <c r="G185" s="216">
        <v>0.02</v>
      </c>
      <c r="H185" s="193">
        <f t="shared" si="173"/>
        <v>11364840</v>
      </c>
      <c r="I185" s="216">
        <v>2.5000000000000001E-2</v>
      </c>
      <c r="J185" s="193">
        <f t="shared" si="174"/>
        <v>11420550</v>
      </c>
      <c r="K185" s="195">
        <f t="shared" si="167"/>
        <v>46.365970202836117</v>
      </c>
      <c r="L185" s="199">
        <v>516609640</v>
      </c>
      <c r="M185" s="195">
        <f t="shared" si="168"/>
        <v>64.099883324358288</v>
      </c>
      <c r="N185" s="199">
        <v>714200900</v>
      </c>
      <c r="O185" s="199">
        <f t="shared" si="160"/>
        <v>1230810540</v>
      </c>
      <c r="P185" s="141">
        <f t="shared" si="154"/>
        <v>473953798.16513759</v>
      </c>
      <c r="Q185" s="141">
        <f t="shared" si="145"/>
        <v>502391026.05504584</v>
      </c>
      <c r="R185" s="141">
        <f t="shared" si="146"/>
        <v>14218613.944954157</v>
      </c>
      <c r="S185" s="141">
        <f t="shared" si="147"/>
        <v>655230183.48623848</v>
      </c>
      <c r="T185" s="141">
        <f t="shared" si="148"/>
        <v>694543994.49541283</v>
      </c>
      <c r="U185" s="141">
        <f t="shared" si="149"/>
        <v>19656905.504587173</v>
      </c>
      <c r="V185" s="142">
        <f t="shared" si="150"/>
        <v>33875519.44954133</v>
      </c>
    </row>
    <row r="186" spans="2:22" x14ac:dyDescent="0.2">
      <c r="B186" s="214" t="s">
        <v>489</v>
      </c>
      <c r="C186" s="152">
        <v>39</v>
      </c>
      <c r="D186" s="215">
        <v>9642000</v>
      </c>
      <c r="E186" s="216">
        <v>6.5000000000000002E-2</v>
      </c>
      <c r="F186" s="215">
        <f t="shared" si="172"/>
        <v>10269000</v>
      </c>
      <c r="G186" s="216">
        <v>0.02</v>
      </c>
      <c r="H186" s="193">
        <f t="shared" si="173"/>
        <v>10474380</v>
      </c>
      <c r="I186" s="216">
        <v>2.5000000000000001E-2</v>
      </c>
      <c r="J186" s="193">
        <f t="shared" si="174"/>
        <v>10525725</v>
      </c>
      <c r="K186" s="195">
        <f t="shared" si="167"/>
        <v>30.299184925503944</v>
      </c>
      <c r="L186" s="222">
        <v>311142330</v>
      </c>
      <c r="M186" s="195">
        <f t="shared" si="168"/>
        <v>21.399421560035059</v>
      </c>
      <c r="N186" s="222">
        <v>219750660</v>
      </c>
      <c r="O186" s="222">
        <f t="shared" si="160"/>
        <v>530892990</v>
      </c>
      <c r="P186" s="141">
        <f t="shared" si="154"/>
        <v>292152422.53521127</v>
      </c>
      <c r="Q186" s="141">
        <f t="shared" si="145"/>
        <v>309681567.88732392</v>
      </c>
      <c r="R186" s="141">
        <f t="shared" si="146"/>
        <v>1460762.112676084</v>
      </c>
      <c r="S186" s="141">
        <f t="shared" si="147"/>
        <v>206338647.88732395</v>
      </c>
      <c r="T186" s="141">
        <f t="shared" si="148"/>
        <v>218718966.76056337</v>
      </c>
      <c r="U186" s="141">
        <f t="shared" si="149"/>
        <v>1031693.2394366264</v>
      </c>
      <c r="V186" s="142">
        <f t="shared" si="150"/>
        <v>2492455.3521127105</v>
      </c>
    </row>
    <row r="187" spans="2:22" x14ac:dyDescent="0.2">
      <c r="B187" s="214" t="s">
        <v>490</v>
      </c>
      <c r="C187" s="152">
        <v>40</v>
      </c>
      <c r="D187" s="215">
        <v>10635000</v>
      </c>
      <c r="E187" s="216">
        <v>0.09</v>
      </c>
      <c r="F187" s="215">
        <f t="shared" si="172"/>
        <v>11592000</v>
      </c>
      <c r="G187" s="216">
        <v>0.02</v>
      </c>
      <c r="H187" s="193">
        <f t="shared" si="173"/>
        <v>11823840</v>
      </c>
      <c r="I187" s="216">
        <v>2.5000000000000001E-2</v>
      </c>
      <c r="J187" s="193">
        <f t="shared" si="174"/>
        <v>11881800</v>
      </c>
      <c r="K187" s="195">
        <f t="shared" si="167"/>
        <v>19.015885955831607</v>
      </c>
      <c r="L187" s="222">
        <v>220432150</v>
      </c>
      <c r="M187" s="195">
        <f t="shared" si="168"/>
        <v>27.715967908902691</v>
      </c>
      <c r="N187" s="222">
        <v>321283500</v>
      </c>
      <c r="O187" s="222">
        <f t="shared" si="160"/>
        <v>541715650</v>
      </c>
      <c r="P187" s="141">
        <f t="shared" si="154"/>
        <v>202231330.27522933</v>
      </c>
      <c r="Q187" s="141">
        <f t="shared" ref="Q187:Q250" si="175">(P187*$Q$11)+P187</f>
        <v>214365210.09174308</v>
      </c>
      <c r="R187" s="141">
        <f t="shared" ref="R187:R250" si="176">L187-Q187</f>
        <v>6066939.9082569182</v>
      </c>
      <c r="S187" s="141">
        <f t="shared" ref="S187:S250" si="177">N187/(1+E187)</f>
        <v>294755504.58715594</v>
      </c>
      <c r="T187" s="141">
        <f t="shared" si="148"/>
        <v>312440834.86238527</v>
      </c>
      <c r="U187" s="141">
        <f t="shared" ref="U187:U250" si="178">N187-T187</f>
        <v>8842665.137614727</v>
      </c>
      <c r="V187" s="142">
        <f t="shared" ref="V187:V250" si="179">R187+U187</f>
        <v>14909605.045871645</v>
      </c>
    </row>
    <row r="188" spans="2:22" x14ac:dyDescent="0.2">
      <c r="B188" s="214" t="s">
        <v>491</v>
      </c>
      <c r="C188" s="152">
        <v>41</v>
      </c>
      <c r="D188" s="215">
        <v>10635000</v>
      </c>
      <c r="E188" s="216">
        <v>0.09</v>
      </c>
      <c r="F188" s="215">
        <f t="shared" si="172"/>
        <v>11592000</v>
      </c>
      <c r="G188" s="216">
        <v>0.02</v>
      </c>
      <c r="H188" s="193">
        <f t="shared" si="173"/>
        <v>11823840</v>
      </c>
      <c r="I188" s="216">
        <v>2.5000000000000001E-2</v>
      </c>
      <c r="J188" s="193">
        <f t="shared" si="174"/>
        <v>11881800</v>
      </c>
      <c r="K188" s="195">
        <f t="shared" si="167"/>
        <v>7.8001035196687374</v>
      </c>
      <c r="L188" s="222">
        <v>90418800</v>
      </c>
      <c r="M188" s="195">
        <f t="shared" si="168"/>
        <v>12.800168219461698</v>
      </c>
      <c r="N188" s="222">
        <v>148379550</v>
      </c>
      <c r="O188" s="222">
        <f t="shared" si="160"/>
        <v>238798350</v>
      </c>
      <c r="P188" s="141">
        <f t="shared" ref="P188:P251" si="180">L188/(1+E188)</f>
        <v>82953027.522935778</v>
      </c>
      <c r="Q188" s="141">
        <f t="shared" si="175"/>
        <v>87930209.174311921</v>
      </c>
      <c r="R188" s="141">
        <f t="shared" si="176"/>
        <v>2488590.825688079</v>
      </c>
      <c r="S188" s="141">
        <f t="shared" si="177"/>
        <v>136128027.52293578</v>
      </c>
      <c r="T188" s="141">
        <f t="shared" ref="T188:T251" si="181">(S188*$T$11)+S188</f>
        <v>144295709.17431194</v>
      </c>
      <c r="U188" s="141">
        <f t="shared" si="178"/>
        <v>4083840.8256880641</v>
      </c>
      <c r="V188" s="142">
        <f t="shared" si="179"/>
        <v>6572431.6513761431</v>
      </c>
    </row>
    <row r="189" spans="2:22" x14ac:dyDescent="0.2">
      <c r="B189" s="214" t="s">
        <v>322</v>
      </c>
      <c r="C189" s="152">
        <v>44</v>
      </c>
      <c r="D189" s="215">
        <v>10635000</v>
      </c>
      <c r="E189" s="216">
        <v>0.09</v>
      </c>
      <c r="F189" s="215">
        <f t="shared" si="172"/>
        <v>11592000</v>
      </c>
      <c r="G189" s="216">
        <v>0.02</v>
      </c>
      <c r="H189" s="193">
        <f t="shared" si="173"/>
        <v>11823840</v>
      </c>
      <c r="I189" s="216">
        <v>2.5000000000000001E-2</v>
      </c>
      <c r="J189" s="193">
        <f t="shared" si="174"/>
        <v>11881800</v>
      </c>
      <c r="K189" s="195">
        <f t="shared" si="167"/>
        <v>16.535140614216701</v>
      </c>
      <c r="L189" s="222">
        <v>191675350</v>
      </c>
      <c r="M189" s="195">
        <f t="shared" si="168"/>
        <v>12.535088854382332</v>
      </c>
      <c r="N189" s="222">
        <v>145306750</v>
      </c>
      <c r="O189" s="222">
        <f t="shared" si="160"/>
        <v>336982100</v>
      </c>
      <c r="P189" s="141">
        <f t="shared" si="180"/>
        <v>175848944.95412841</v>
      </c>
      <c r="Q189" s="141">
        <f t="shared" si="175"/>
        <v>186399881.65137613</v>
      </c>
      <c r="R189" s="141">
        <f t="shared" si="176"/>
        <v>5275468.3486238718</v>
      </c>
      <c r="S189" s="141">
        <f t="shared" si="177"/>
        <v>133308944.95412843</v>
      </c>
      <c r="T189" s="141">
        <f t="shared" si="181"/>
        <v>141307481.65137613</v>
      </c>
      <c r="U189" s="141">
        <f t="shared" si="178"/>
        <v>3999268.3486238718</v>
      </c>
      <c r="V189" s="142">
        <f t="shared" si="179"/>
        <v>9274736.6972477436</v>
      </c>
    </row>
    <row r="190" spans="2:22" x14ac:dyDescent="0.2">
      <c r="B190" s="214" t="s">
        <v>492</v>
      </c>
      <c r="C190" s="152">
        <v>48</v>
      </c>
      <c r="D190" s="215">
        <v>9893000</v>
      </c>
      <c r="E190" s="216">
        <v>6.5000000000000002E-2</v>
      </c>
      <c r="F190" s="215">
        <f t="shared" si="172"/>
        <v>10536000</v>
      </c>
      <c r="G190" s="216">
        <v>0.02</v>
      </c>
      <c r="H190" s="193">
        <f t="shared" si="173"/>
        <v>10746720</v>
      </c>
      <c r="I190" s="216">
        <v>2.5000000000000001E-2</v>
      </c>
      <c r="J190" s="193">
        <f t="shared" si="174"/>
        <v>10799400</v>
      </c>
      <c r="K190" s="195">
        <f t="shared" si="167"/>
        <v>69.253816913439636</v>
      </c>
      <c r="L190" s="222">
        <v>729658215</v>
      </c>
      <c r="M190" s="195">
        <f t="shared" si="168"/>
        <v>69.371188306757787</v>
      </c>
      <c r="N190" s="222">
        <v>730894840</v>
      </c>
      <c r="O190" s="222">
        <f t="shared" si="160"/>
        <v>1460553055</v>
      </c>
      <c r="P190" s="141">
        <f t="shared" si="180"/>
        <v>685125084.50704229</v>
      </c>
      <c r="Q190" s="141">
        <f t="shared" si="175"/>
        <v>726232589.57746482</v>
      </c>
      <c r="R190" s="141">
        <f t="shared" si="176"/>
        <v>3425625.422535181</v>
      </c>
      <c r="S190" s="141">
        <f t="shared" si="177"/>
        <v>686286234.7417841</v>
      </c>
      <c r="T190" s="141">
        <f t="shared" si="181"/>
        <v>727463408.82629108</v>
      </c>
      <c r="U190" s="141">
        <f t="shared" si="178"/>
        <v>3431431.1737089157</v>
      </c>
      <c r="V190" s="142">
        <f t="shared" si="179"/>
        <v>6857056.5962440968</v>
      </c>
    </row>
    <row r="191" spans="2:22" x14ac:dyDescent="0.2">
      <c r="B191" s="214" t="s">
        <v>325</v>
      </c>
      <c r="C191" s="152">
        <v>40</v>
      </c>
      <c r="D191" s="215">
        <v>10635000</v>
      </c>
      <c r="E191" s="216">
        <v>0.09</v>
      </c>
      <c r="F191" s="215">
        <f t="shared" si="172"/>
        <v>11592000</v>
      </c>
      <c r="G191" s="216">
        <v>0.02</v>
      </c>
      <c r="H191" s="193">
        <f t="shared" si="173"/>
        <v>11823840</v>
      </c>
      <c r="I191" s="216">
        <v>2.5000000000000001E-2</v>
      </c>
      <c r="J191" s="193">
        <f t="shared" si="174"/>
        <v>11881800</v>
      </c>
      <c r="K191" s="195">
        <f t="shared" si="167"/>
        <v>27.400362318840578</v>
      </c>
      <c r="L191" s="222">
        <v>317625000</v>
      </c>
      <c r="M191" s="195">
        <f t="shared" si="168"/>
        <v>27.800375258799171</v>
      </c>
      <c r="N191" s="222">
        <v>322261950</v>
      </c>
      <c r="O191" s="222">
        <f t="shared" si="160"/>
        <v>639886950</v>
      </c>
      <c r="P191" s="141">
        <f t="shared" si="180"/>
        <v>291399082.5688073</v>
      </c>
      <c r="Q191" s="141">
        <f t="shared" si="175"/>
        <v>308883027.52293575</v>
      </c>
      <c r="R191" s="141">
        <f t="shared" si="176"/>
        <v>8741972.4770642519</v>
      </c>
      <c r="S191" s="141">
        <f t="shared" si="177"/>
        <v>295653165.13761467</v>
      </c>
      <c r="T191" s="141">
        <f t="shared" si="181"/>
        <v>313392355.04587156</v>
      </c>
      <c r="U191" s="141">
        <f t="shared" si="178"/>
        <v>8869594.9541284442</v>
      </c>
      <c r="V191" s="142">
        <f t="shared" si="179"/>
        <v>17611567.431192696</v>
      </c>
    </row>
    <row r="192" spans="2:22" x14ac:dyDescent="0.2">
      <c r="B192" s="214" t="s">
        <v>493</v>
      </c>
      <c r="C192" s="152">
        <v>42</v>
      </c>
      <c r="D192" s="215">
        <v>10635000</v>
      </c>
      <c r="E192" s="216">
        <v>6.5000000000000002E-2</v>
      </c>
      <c r="F192" s="215">
        <f t="shared" si="172"/>
        <v>11326000</v>
      </c>
      <c r="G192" s="216">
        <v>0.02</v>
      </c>
      <c r="H192" s="193">
        <f t="shared" si="173"/>
        <v>11552520</v>
      </c>
      <c r="I192" s="216">
        <v>2.5000000000000001E-2</v>
      </c>
      <c r="J192" s="193">
        <f t="shared" si="174"/>
        <v>11609150</v>
      </c>
      <c r="K192" s="195">
        <f t="shared" si="167"/>
        <v>39.428187356524809</v>
      </c>
      <c r="L192" s="222">
        <v>446563650</v>
      </c>
      <c r="M192" s="195">
        <f t="shared" si="168"/>
        <v>32.723799223026667</v>
      </c>
      <c r="N192" s="222">
        <v>370629750</v>
      </c>
      <c r="O192" s="222">
        <f t="shared" si="160"/>
        <v>817193400</v>
      </c>
      <c r="P192" s="141">
        <f t="shared" si="180"/>
        <v>419308591.54929578</v>
      </c>
      <c r="Q192" s="141">
        <f t="shared" si="175"/>
        <v>444467107.04225355</v>
      </c>
      <c r="R192" s="141">
        <f t="shared" si="176"/>
        <v>2096542.9577464461</v>
      </c>
      <c r="S192" s="141">
        <f t="shared" si="177"/>
        <v>348009154.92957747</v>
      </c>
      <c r="T192" s="141">
        <f t="shared" si="181"/>
        <v>368889704.22535211</v>
      </c>
      <c r="U192" s="141">
        <f t="shared" si="178"/>
        <v>1740045.7746478915</v>
      </c>
      <c r="V192" s="142">
        <f t="shared" si="179"/>
        <v>3836588.7323943377</v>
      </c>
    </row>
    <row r="193" spans="2:22" x14ac:dyDescent="0.2">
      <c r="B193" s="214" t="s">
        <v>323</v>
      </c>
      <c r="C193" s="152">
        <v>42</v>
      </c>
      <c r="D193" s="215">
        <v>9893000</v>
      </c>
      <c r="E193" s="216">
        <v>5.5E-2</v>
      </c>
      <c r="F193" s="215">
        <f t="shared" si="172"/>
        <v>10437000</v>
      </c>
      <c r="G193" s="216">
        <v>0.02</v>
      </c>
      <c r="H193" s="193">
        <f t="shared" si="173"/>
        <v>10645740</v>
      </c>
      <c r="I193" s="216">
        <v>2.5000000000000001E-2</v>
      </c>
      <c r="J193" s="193">
        <f t="shared" si="174"/>
        <v>10697925</v>
      </c>
      <c r="K193" s="195">
        <f t="shared" si="167"/>
        <v>24.107473890964837</v>
      </c>
      <c r="L193" s="222">
        <v>251609705</v>
      </c>
      <c r="M193" s="195">
        <f t="shared" si="168"/>
        <v>29.107528983424356</v>
      </c>
      <c r="N193" s="222">
        <v>303795280</v>
      </c>
      <c r="O193" s="222">
        <f t="shared" si="160"/>
        <v>555404985</v>
      </c>
      <c r="P193" s="141">
        <f t="shared" si="180"/>
        <v>238492611.37440759</v>
      </c>
      <c r="Q193" s="141">
        <f t="shared" si="175"/>
        <v>252802168.05687204</v>
      </c>
      <c r="R193" s="141">
        <f t="shared" si="176"/>
        <v>-1192463.05687204</v>
      </c>
      <c r="S193" s="141">
        <f t="shared" si="177"/>
        <v>287957611.37440759</v>
      </c>
      <c r="T193" s="141">
        <f t="shared" si="181"/>
        <v>305235068.05687207</v>
      </c>
      <c r="U193" s="141">
        <f t="shared" si="178"/>
        <v>-1439788.0568720698</v>
      </c>
      <c r="V193" s="142">
        <f t="shared" si="179"/>
        <v>-2632251.1137441099</v>
      </c>
    </row>
    <row r="194" spans="2:22" x14ac:dyDescent="0.2">
      <c r="B194" s="217" t="s">
        <v>533</v>
      </c>
      <c r="C194" s="152"/>
      <c r="D194" s="215"/>
      <c r="E194" s="216"/>
      <c r="F194" s="215"/>
      <c r="G194" s="152"/>
      <c r="H194" s="141"/>
      <c r="I194" s="152"/>
      <c r="J194" s="141"/>
      <c r="K194" s="218"/>
      <c r="L194" s="141"/>
      <c r="M194" s="218"/>
      <c r="N194" s="141"/>
      <c r="O194" s="141"/>
      <c r="P194" s="141"/>
      <c r="Q194" s="141"/>
      <c r="R194" s="141"/>
      <c r="S194" s="141"/>
      <c r="T194" s="141"/>
      <c r="U194" s="141"/>
      <c r="V194" s="142"/>
    </row>
    <row r="195" spans="2:22" x14ac:dyDescent="0.2">
      <c r="B195" s="214" t="s">
        <v>494</v>
      </c>
      <c r="C195" s="152">
        <v>110</v>
      </c>
      <c r="D195" s="215">
        <v>14500000</v>
      </c>
      <c r="E195" s="216">
        <v>0.09</v>
      </c>
      <c r="F195" s="215">
        <f t="shared" ref="F195:F228" si="182">+ROUND((D195*E195)+D195,-3)</f>
        <v>15805000</v>
      </c>
      <c r="G195" s="216">
        <v>0.02</v>
      </c>
      <c r="H195" s="193">
        <f t="shared" ref="H195:H228" si="183">+(F195*G195)+F195</f>
        <v>16121100</v>
      </c>
      <c r="I195" s="216">
        <v>2.5000000000000001E-2</v>
      </c>
      <c r="J195" s="193">
        <f>+(F195*I195)+F195</f>
        <v>16200125</v>
      </c>
      <c r="K195" s="195">
        <f t="shared" si="167"/>
        <v>7.4018664979436908</v>
      </c>
      <c r="L195" s="199">
        <v>116986500.00000003</v>
      </c>
      <c r="M195" s="195">
        <f t="shared" si="168"/>
        <v>7.4018664979436908</v>
      </c>
      <c r="N195" s="199">
        <v>116986500.00000003</v>
      </c>
      <c r="O195" s="199">
        <f t="shared" si="160"/>
        <v>233973000.00000006</v>
      </c>
      <c r="P195" s="141">
        <f t="shared" si="180"/>
        <v>107327064.22018351</v>
      </c>
      <c r="Q195" s="141">
        <f t="shared" si="175"/>
        <v>113766688.07339452</v>
      </c>
      <c r="R195" s="141">
        <f t="shared" si="176"/>
        <v>3219811.9266055077</v>
      </c>
      <c r="S195" s="141">
        <f t="shared" si="177"/>
        <v>107327064.22018351</v>
      </c>
      <c r="T195" s="141">
        <f t="shared" si="181"/>
        <v>113766688.07339452</v>
      </c>
      <c r="U195" s="141">
        <f t="shared" si="178"/>
        <v>3219811.9266055077</v>
      </c>
      <c r="V195" s="142">
        <f t="shared" si="179"/>
        <v>6439623.8532110155</v>
      </c>
    </row>
    <row r="196" spans="2:22" x14ac:dyDescent="0.2">
      <c r="B196" s="214" t="s">
        <v>339</v>
      </c>
      <c r="C196" s="152">
        <v>195</v>
      </c>
      <c r="D196" s="215">
        <v>15216000</v>
      </c>
      <c r="E196" s="216">
        <v>0.09</v>
      </c>
      <c r="F196" s="215">
        <f t="shared" si="182"/>
        <v>16585000</v>
      </c>
      <c r="G196" s="219">
        <v>0.01</v>
      </c>
      <c r="H196" s="193">
        <f t="shared" si="183"/>
        <v>16750850</v>
      </c>
      <c r="I196" s="152"/>
      <c r="J196" s="141"/>
      <c r="K196" s="195">
        <f t="shared" si="167"/>
        <v>15.900421826952069</v>
      </c>
      <c r="L196" s="199">
        <v>263708496.00000006</v>
      </c>
      <c r="M196" s="195">
        <f t="shared" si="168"/>
        <v>15.900421826952069</v>
      </c>
      <c r="N196" s="199">
        <v>263708496.00000006</v>
      </c>
      <c r="O196" s="199">
        <f t="shared" si="160"/>
        <v>527416992.00000012</v>
      </c>
      <c r="P196" s="141">
        <f t="shared" si="180"/>
        <v>241934400.00000003</v>
      </c>
      <c r="Q196" s="141">
        <f t="shared" si="175"/>
        <v>256450464.00000003</v>
      </c>
      <c r="R196" s="141">
        <f t="shared" si="176"/>
        <v>7258032.0000000298</v>
      </c>
      <c r="S196" s="141">
        <f t="shared" si="177"/>
        <v>241934400.00000003</v>
      </c>
      <c r="T196" s="141">
        <f t="shared" si="181"/>
        <v>256450464.00000003</v>
      </c>
      <c r="U196" s="141">
        <f t="shared" si="178"/>
        <v>7258032.0000000298</v>
      </c>
      <c r="V196" s="142">
        <f t="shared" si="179"/>
        <v>14516064.00000006</v>
      </c>
    </row>
    <row r="197" spans="2:22" x14ac:dyDescent="0.2">
      <c r="B197" s="214" t="s">
        <v>348</v>
      </c>
      <c r="C197" s="152">
        <v>132</v>
      </c>
      <c r="D197" s="215">
        <v>9482000</v>
      </c>
      <c r="E197" s="216">
        <v>0.09</v>
      </c>
      <c r="F197" s="215">
        <f t="shared" si="182"/>
        <v>10335000</v>
      </c>
      <c r="G197" s="219">
        <v>0.01</v>
      </c>
      <c r="H197" s="193">
        <f t="shared" si="183"/>
        <v>10438350</v>
      </c>
      <c r="I197" s="152"/>
      <c r="J197" s="141"/>
      <c r="K197" s="195">
        <f t="shared" si="167"/>
        <v>6.4002353168843733</v>
      </c>
      <c r="L197" s="199">
        <v>66146432</v>
      </c>
      <c r="M197" s="195">
        <f t="shared" si="168"/>
        <v>7.3002684083212381</v>
      </c>
      <c r="N197" s="199">
        <v>75448274</v>
      </c>
      <c r="O197" s="199">
        <f t="shared" si="160"/>
        <v>141594706</v>
      </c>
      <c r="P197" s="141">
        <f t="shared" si="180"/>
        <v>60684799.999999993</v>
      </c>
      <c r="Q197" s="141">
        <f t="shared" si="175"/>
        <v>64325887.999999993</v>
      </c>
      <c r="R197" s="141">
        <f t="shared" si="176"/>
        <v>1820544.0000000075</v>
      </c>
      <c r="S197" s="141">
        <f t="shared" si="177"/>
        <v>69218600</v>
      </c>
      <c r="T197" s="141">
        <f t="shared" si="181"/>
        <v>73371716</v>
      </c>
      <c r="U197" s="141">
        <f t="shared" si="178"/>
        <v>2076558</v>
      </c>
      <c r="V197" s="142">
        <f t="shared" si="179"/>
        <v>3897102.0000000075</v>
      </c>
    </row>
    <row r="198" spans="2:22" x14ac:dyDescent="0.2">
      <c r="B198" s="214" t="s">
        <v>343</v>
      </c>
      <c r="C198" s="152">
        <v>120</v>
      </c>
      <c r="D198" s="215">
        <v>15216000</v>
      </c>
      <c r="E198" s="216">
        <v>0.09</v>
      </c>
      <c r="F198" s="215">
        <f t="shared" si="182"/>
        <v>16585000</v>
      </c>
      <c r="G198" s="219">
        <v>0.01</v>
      </c>
      <c r="H198" s="193">
        <f t="shared" si="183"/>
        <v>16750850</v>
      </c>
      <c r="I198" s="152"/>
      <c r="J198" s="141"/>
      <c r="K198" s="195">
        <f t="shared" si="167"/>
        <v>2.0000530599939705</v>
      </c>
      <c r="L198" s="199">
        <v>33170880.000000004</v>
      </c>
      <c r="M198" s="195">
        <f t="shared" si="168"/>
        <v>2.0000530599939705</v>
      </c>
      <c r="N198" s="199">
        <v>33170880.000000004</v>
      </c>
      <c r="O198" s="199">
        <f t="shared" si="160"/>
        <v>66341760.000000007</v>
      </c>
      <c r="P198" s="141">
        <f t="shared" si="180"/>
        <v>30432000</v>
      </c>
      <c r="Q198" s="141">
        <f t="shared" si="175"/>
        <v>32257920</v>
      </c>
      <c r="R198" s="141">
        <f t="shared" si="176"/>
        <v>912960.00000000373</v>
      </c>
      <c r="S198" s="141">
        <f t="shared" si="177"/>
        <v>30432000</v>
      </c>
      <c r="T198" s="141">
        <f t="shared" si="181"/>
        <v>32257920</v>
      </c>
      <c r="U198" s="141">
        <f t="shared" si="178"/>
        <v>912960.00000000373</v>
      </c>
      <c r="V198" s="142">
        <f t="shared" si="179"/>
        <v>1825920.0000000075</v>
      </c>
    </row>
    <row r="199" spans="2:22" x14ac:dyDescent="0.2">
      <c r="B199" s="214" t="s">
        <v>338</v>
      </c>
      <c r="C199" s="152">
        <v>262</v>
      </c>
      <c r="D199" s="215">
        <v>15216000</v>
      </c>
      <c r="E199" s="216">
        <v>0.09</v>
      </c>
      <c r="F199" s="215">
        <f t="shared" si="182"/>
        <v>16585000</v>
      </c>
      <c r="G199" s="219">
        <v>0.01</v>
      </c>
      <c r="H199" s="193">
        <f t="shared" si="183"/>
        <v>16750850</v>
      </c>
      <c r="I199" s="152"/>
      <c r="J199" s="141"/>
      <c r="K199" s="195">
        <f t="shared" si="167"/>
        <v>17.700469580946642</v>
      </c>
      <c r="L199" s="199">
        <v>293562288.00000006</v>
      </c>
      <c r="M199" s="195">
        <f t="shared" si="168"/>
        <v>18.800498763943327</v>
      </c>
      <c r="N199" s="199">
        <v>311806272.00000006</v>
      </c>
      <c r="O199" s="199">
        <f t="shared" si="160"/>
        <v>605368560.00000012</v>
      </c>
      <c r="P199" s="141">
        <f t="shared" si="180"/>
        <v>269323200.00000006</v>
      </c>
      <c r="Q199" s="141">
        <f t="shared" si="175"/>
        <v>285482592.00000006</v>
      </c>
      <c r="R199" s="141">
        <f t="shared" si="176"/>
        <v>8079696</v>
      </c>
      <c r="S199" s="141">
        <f t="shared" si="177"/>
        <v>286060800.00000006</v>
      </c>
      <c r="T199" s="141">
        <f t="shared" si="181"/>
        <v>303224448.00000006</v>
      </c>
      <c r="U199" s="141">
        <f t="shared" si="178"/>
        <v>8581824</v>
      </c>
      <c r="V199" s="142">
        <f t="shared" si="179"/>
        <v>16661520</v>
      </c>
    </row>
    <row r="200" spans="2:22" x14ac:dyDescent="0.2">
      <c r="B200" s="214" t="s">
        <v>351</v>
      </c>
      <c r="C200" s="152">
        <v>249</v>
      </c>
      <c r="D200" s="215">
        <v>15216000</v>
      </c>
      <c r="E200" s="216">
        <v>0.09</v>
      </c>
      <c r="F200" s="215">
        <f t="shared" si="182"/>
        <v>16585000</v>
      </c>
      <c r="G200" s="219">
        <v>0.01</v>
      </c>
      <c r="H200" s="193">
        <f t="shared" si="183"/>
        <v>16750850</v>
      </c>
      <c r="I200" s="152"/>
      <c r="J200" s="141"/>
      <c r="K200" s="195">
        <f t="shared" si="167"/>
        <v>5.8001538739825156</v>
      </c>
      <c r="L200" s="199">
        <v>96195552.000000015</v>
      </c>
      <c r="M200" s="195">
        <f t="shared" si="168"/>
        <v>5.8001538739825156</v>
      </c>
      <c r="N200" s="199">
        <v>96195552.000000015</v>
      </c>
      <c r="O200" s="199">
        <f t="shared" si="160"/>
        <v>192391104.00000003</v>
      </c>
      <c r="P200" s="141">
        <f t="shared" si="180"/>
        <v>88252800</v>
      </c>
      <c r="Q200" s="141">
        <f t="shared" si="175"/>
        <v>93547968</v>
      </c>
      <c r="R200" s="141">
        <f t="shared" si="176"/>
        <v>2647584.0000000149</v>
      </c>
      <c r="S200" s="141">
        <f t="shared" si="177"/>
        <v>88252800</v>
      </c>
      <c r="T200" s="141">
        <f t="shared" si="181"/>
        <v>93547968</v>
      </c>
      <c r="U200" s="141">
        <f t="shared" si="178"/>
        <v>2647584.0000000149</v>
      </c>
      <c r="V200" s="142">
        <f t="shared" si="179"/>
        <v>5295168.0000000298</v>
      </c>
    </row>
    <row r="201" spans="2:22" x14ac:dyDescent="0.2">
      <c r="B201" s="214" t="s">
        <v>495</v>
      </c>
      <c r="C201" s="152"/>
      <c r="D201" s="215">
        <v>15216000</v>
      </c>
      <c r="E201" s="216">
        <v>0.09</v>
      </c>
      <c r="F201" s="215">
        <f t="shared" si="182"/>
        <v>16585000</v>
      </c>
      <c r="G201" s="219">
        <v>0.01</v>
      </c>
      <c r="H201" s="193">
        <f t="shared" si="183"/>
        <v>16750850</v>
      </c>
      <c r="I201" s="152"/>
      <c r="J201" s="141"/>
      <c r="K201" s="195">
        <f t="shared" si="167"/>
        <v>0</v>
      </c>
      <c r="L201" s="141"/>
      <c r="M201" s="195">
        <f t="shared" si="168"/>
        <v>0</v>
      </c>
      <c r="N201" s="141"/>
      <c r="O201" s="141">
        <f t="shared" ref="O201:O229" si="184">L201+N201</f>
        <v>0</v>
      </c>
      <c r="P201" s="141">
        <f t="shared" si="180"/>
        <v>0</v>
      </c>
      <c r="Q201" s="141">
        <f t="shared" si="175"/>
        <v>0</v>
      </c>
      <c r="R201" s="141">
        <f t="shared" si="176"/>
        <v>0</v>
      </c>
      <c r="S201" s="141">
        <f t="shared" si="177"/>
        <v>0</v>
      </c>
      <c r="T201" s="141">
        <f t="shared" si="181"/>
        <v>0</v>
      </c>
      <c r="U201" s="141">
        <f t="shared" si="178"/>
        <v>0</v>
      </c>
      <c r="V201" s="142">
        <f t="shared" si="179"/>
        <v>0</v>
      </c>
    </row>
    <row r="202" spans="2:22" x14ac:dyDescent="0.2">
      <c r="B202" s="214" t="s">
        <v>347</v>
      </c>
      <c r="C202" s="152">
        <v>111</v>
      </c>
      <c r="D202" s="215">
        <v>9482000</v>
      </c>
      <c r="E202" s="216">
        <v>0.09</v>
      </c>
      <c r="F202" s="215">
        <f t="shared" si="182"/>
        <v>10335000</v>
      </c>
      <c r="G202" s="219">
        <v>0.01</v>
      </c>
      <c r="H202" s="193">
        <f t="shared" si="183"/>
        <v>10438350</v>
      </c>
      <c r="I202" s="152"/>
      <c r="J202" s="141"/>
      <c r="K202" s="195">
        <f t="shared" si="167"/>
        <v>3.6001323657474602</v>
      </c>
      <c r="L202" s="199">
        <v>37207368</v>
      </c>
      <c r="M202" s="195">
        <f t="shared" si="168"/>
        <v>3.6001323657474602</v>
      </c>
      <c r="N202" s="199">
        <v>37207368</v>
      </c>
      <c r="O202" s="199">
        <f t="shared" si="184"/>
        <v>74414736</v>
      </c>
      <c r="P202" s="141">
        <f t="shared" si="180"/>
        <v>34135200</v>
      </c>
      <c r="Q202" s="141">
        <f t="shared" si="175"/>
        <v>36183312</v>
      </c>
      <c r="R202" s="141">
        <f t="shared" si="176"/>
        <v>1024056</v>
      </c>
      <c r="S202" s="141">
        <f t="shared" si="177"/>
        <v>34135200</v>
      </c>
      <c r="T202" s="141">
        <f t="shared" si="181"/>
        <v>36183312</v>
      </c>
      <c r="U202" s="141">
        <f t="shared" si="178"/>
        <v>1024056</v>
      </c>
      <c r="V202" s="142">
        <f t="shared" si="179"/>
        <v>2048112</v>
      </c>
    </row>
    <row r="203" spans="2:22" x14ac:dyDescent="0.2">
      <c r="B203" s="214" t="s">
        <v>327</v>
      </c>
      <c r="C203" s="152">
        <v>129</v>
      </c>
      <c r="D203" s="215">
        <v>9482000</v>
      </c>
      <c r="E203" s="216">
        <v>0.09</v>
      </c>
      <c r="F203" s="215">
        <f t="shared" si="182"/>
        <v>10335000</v>
      </c>
      <c r="G203" s="219">
        <v>0.01</v>
      </c>
      <c r="H203" s="193">
        <f t="shared" si="183"/>
        <v>10438350</v>
      </c>
      <c r="I203" s="152"/>
      <c r="J203" s="141"/>
      <c r="K203" s="195">
        <f t="shared" si="167"/>
        <v>7.6002794388001931</v>
      </c>
      <c r="L203" s="199">
        <v>78548888</v>
      </c>
      <c r="M203" s="195">
        <f t="shared" si="168"/>
        <v>8.5003125302370588</v>
      </c>
      <c r="N203" s="199">
        <v>87850730</v>
      </c>
      <c r="O203" s="199">
        <f t="shared" si="184"/>
        <v>166399618</v>
      </c>
      <c r="P203" s="141">
        <f t="shared" si="180"/>
        <v>72063200</v>
      </c>
      <c r="Q203" s="141">
        <f t="shared" si="175"/>
        <v>76386992</v>
      </c>
      <c r="R203" s="141">
        <f t="shared" si="176"/>
        <v>2161896</v>
      </c>
      <c r="S203" s="141">
        <f t="shared" si="177"/>
        <v>80597000</v>
      </c>
      <c r="T203" s="141">
        <f t="shared" si="181"/>
        <v>85432820</v>
      </c>
      <c r="U203" s="141">
        <f t="shared" si="178"/>
        <v>2417910</v>
      </c>
      <c r="V203" s="142">
        <f t="shared" si="179"/>
        <v>4579806</v>
      </c>
    </row>
    <row r="204" spans="2:22" x14ac:dyDescent="0.2">
      <c r="B204" s="214" t="s">
        <v>496</v>
      </c>
      <c r="C204" s="152">
        <v>187</v>
      </c>
      <c r="D204" s="215">
        <v>15216000</v>
      </c>
      <c r="E204" s="216">
        <v>0.09</v>
      </c>
      <c r="F204" s="215">
        <f t="shared" si="182"/>
        <v>16585000</v>
      </c>
      <c r="G204" s="219">
        <v>0.01</v>
      </c>
      <c r="H204" s="193">
        <f t="shared" si="183"/>
        <v>16750850</v>
      </c>
      <c r="I204" s="152"/>
      <c r="J204" s="141"/>
      <c r="K204" s="195">
        <f t="shared" si="167"/>
        <v>4.9001299969852283</v>
      </c>
      <c r="L204" s="199">
        <v>81268656.000000015</v>
      </c>
      <c r="M204" s="195">
        <f t="shared" si="168"/>
        <v>4.9001299969852283</v>
      </c>
      <c r="N204" s="199">
        <v>81268656.000000015</v>
      </c>
      <c r="O204" s="199">
        <f t="shared" si="184"/>
        <v>162537312.00000003</v>
      </c>
      <c r="P204" s="141">
        <f t="shared" si="180"/>
        <v>74558400.000000015</v>
      </c>
      <c r="Q204" s="141">
        <f t="shared" si="175"/>
        <v>79031904.000000015</v>
      </c>
      <c r="R204" s="141">
        <f t="shared" si="176"/>
        <v>2236752</v>
      </c>
      <c r="S204" s="141">
        <f t="shared" si="177"/>
        <v>74558400.000000015</v>
      </c>
      <c r="T204" s="141">
        <f t="shared" si="181"/>
        <v>79031904.000000015</v>
      </c>
      <c r="U204" s="141">
        <f t="shared" si="178"/>
        <v>2236752</v>
      </c>
      <c r="V204" s="142">
        <f t="shared" si="179"/>
        <v>4473504</v>
      </c>
    </row>
    <row r="205" spans="2:22" x14ac:dyDescent="0.2">
      <c r="B205" s="214" t="s">
        <v>354</v>
      </c>
      <c r="C205" s="152">
        <v>193</v>
      </c>
      <c r="D205" s="215">
        <v>15216000</v>
      </c>
      <c r="E205" s="216">
        <v>0.09</v>
      </c>
      <c r="F205" s="215">
        <f t="shared" si="182"/>
        <v>16585000</v>
      </c>
      <c r="G205" s="219">
        <v>0.01</v>
      </c>
      <c r="H205" s="193">
        <f t="shared" si="183"/>
        <v>16750850</v>
      </c>
      <c r="I205" s="152"/>
      <c r="J205" s="141"/>
      <c r="K205" s="195">
        <f t="shared" si="167"/>
        <v>21.500570394935185</v>
      </c>
      <c r="L205" s="199">
        <v>356586960.00000006</v>
      </c>
      <c r="M205" s="195">
        <f t="shared" si="168"/>
        <v>22.60059957793187</v>
      </c>
      <c r="N205" s="199">
        <v>374830944.00000006</v>
      </c>
      <c r="O205" s="199">
        <f t="shared" si="184"/>
        <v>731417904.00000012</v>
      </c>
      <c r="P205" s="141">
        <f t="shared" si="180"/>
        <v>327144000.00000006</v>
      </c>
      <c r="Q205" s="141">
        <f t="shared" si="175"/>
        <v>346772640.00000006</v>
      </c>
      <c r="R205" s="141">
        <f t="shared" si="176"/>
        <v>9814320</v>
      </c>
      <c r="S205" s="141">
        <f t="shared" si="177"/>
        <v>343881600</v>
      </c>
      <c r="T205" s="141">
        <f t="shared" si="181"/>
        <v>364514496</v>
      </c>
      <c r="U205" s="141">
        <f t="shared" si="178"/>
        <v>10316448.00000006</v>
      </c>
      <c r="V205" s="142">
        <f t="shared" si="179"/>
        <v>20130768.00000006</v>
      </c>
    </row>
    <row r="206" spans="2:22" x14ac:dyDescent="0.2">
      <c r="B206" s="214" t="s">
        <v>337</v>
      </c>
      <c r="C206" s="152">
        <v>261</v>
      </c>
      <c r="D206" s="215">
        <v>15216000</v>
      </c>
      <c r="E206" s="216">
        <v>0.09</v>
      </c>
      <c r="F206" s="215">
        <f t="shared" si="182"/>
        <v>16585000</v>
      </c>
      <c r="G206" s="219">
        <v>0.01</v>
      </c>
      <c r="H206" s="193">
        <f t="shared" si="183"/>
        <v>16750850</v>
      </c>
      <c r="I206" s="152"/>
      <c r="J206" s="141"/>
      <c r="K206" s="195">
        <f t="shared" si="167"/>
        <v>14.600387337955986</v>
      </c>
      <c r="L206" s="199">
        <v>242147424.00000003</v>
      </c>
      <c r="M206" s="195">
        <f t="shared" si="168"/>
        <v>14.700389990955685</v>
      </c>
      <c r="N206" s="199">
        <v>243805968.00000003</v>
      </c>
      <c r="O206" s="199">
        <f t="shared" si="184"/>
        <v>485953392.00000006</v>
      </c>
      <c r="P206" s="141">
        <f t="shared" si="180"/>
        <v>222153600</v>
      </c>
      <c r="Q206" s="141">
        <f t="shared" si="175"/>
        <v>235482816</v>
      </c>
      <c r="R206" s="141">
        <f t="shared" si="176"/>
        <v>6664608.0000000298</v>
      </c>
      <c r="S206" s="141">
        <f t="shared" si="177"/>
        <v>223675200</v>
      </c>
      <c r="T206" s="141">
        <f t="shared" si="181"/>
        <v>237095712</v>
      </c>
      <c r="U206" s="141">
        <f t="shared" si="178"/>
        <v>6710256.0000000298</v>
      </c>
      <c r="V206" s="142">
        <f t="shared" si="179"/>
        <v>13374864.00000006</v>
      </c>
    </row>
    <row r="207" spans="2:22" x14ac:dyDescent="0.2">
      <c r="B207" s="214" t="s">
        <v>352</v>
      </c>
      <c r="C207" s="152">
        <v>127</v>
      </c>
      <c r="D207" s="215">
        <v>15216000</v>
      </c>
      <c r="E207" s="216">
        <v>0.09</v>
      </c>
      <c r="F207" s="215">
        <f t="shared" si="182"/>
        <v>16585000</v>
      </c>
      <c r="G207" s="219">
        <v>0.01</v>
      </c>
      <c r="H207" s="193">
        <f t="shared" si="183"/>
        <v>16750850</v>
      </c>
      <c r="I207" s="152"/>
      <c r="J207" s="141"/>
      <c r="K207" s="195">
        <f t="shared" si="167"/>
        <v>2.0000530599939705</v>
      </c>
      <c r="L207" s="199">
        <v>33170880.000000004</v>
      </c>
      <c r="M207" s="195">
        <f t="shared" si="168"/>
        <v>2.0000530599939705</v>
      </c>
      <c r="N207" s="199">
        <v>33170880.000000004</v>
      </c>
      <c r="O207" s="199">
        <f t="shared" si="184"/>
        <v>66341760.000000007</v>
      </c>
      <c r="P207" s="141">
        <f t="shared" si="180"/>
        <v>30432000</v>
      </c>
      <c r="Q207" s="141">
        <f t="shared" si="175"/>
        <v>32257920</v>
      </c>
      <c r="R207" s="141">
        <f t="shared" si="176"/>
        <v>912960.00000000373</v>
      </c>
      <c r="S207" s="141">
        <f t="shared" si="177"/>
        <v>30432000</v>
      </c>
      <c r="T207" s="141">
        <f t="shared" si="181"/>
        <v>32257920</v>
      </c>
      <c r="U207" s="141">
        <f t="shared" si="178"/>
        <v>912960.00000000373</v>
      </c>
      <c r="V207" s="142">
        <f t="shared" si="179"/>
        <v>1825920.0000000075</v>
      </c>
    </row>
    <row r="208" spans="2:22" x14ac:dyDescent="0.2">
      <c r="B208" s="214" t="s">
        <v>497</v>
      </c>
      <c r="C208" s="152">
        <v>131</v>
      </c>
      <c r="D208" s="215">
        <v>9482000</v>
      </c>
      <c r="E208" s="216">
        <v>0.09</v>
      </c>
      <c r="F208" s="215">
        <f t="shared" si="182"/>
        <v>10335000</v>
      </c>
      <c r="G208" s="219">
        <v>0.01</v>
      </c>
      <c r="H208" s="193">
        <f t="shared" si="183"/>
        <v>10438350</v>
      </c>
      <c r="I208" s="152"/>
      <c r="J208" s="141"/>
      <c r="K208" s="195">
        <f t="shared" si="167"/>
        <v>2.0000735365263669</v>
      </c>
      <c r="L208" s="199">
        <v>20670760</v>
      </c>
      <c r="M208" s="195">
        <f t="shared" si="168"/>
        <v>2.0000735365263669</v>
      </c>
      <c r="N208" s="199">
        <v>20670760</v>
      </c>
      <c r="O208" s="199">
        <f t="shared" si="184"/>
        <v>41341520</v>
      </c>
      <c r="P208" s="141">
        <f t="shared" si="180"/>
        <v>18964000</v>
      </c>
      <c r="Q208" s="141">
        <f t="shared" si="175"/>
        <v>20101840</v>
      </c>
      <c r="R208" s="141">
        <f t="shared" si="176"/>
        <v>568920</v>
      </c>
      <c r="S208" s="141">
        <f t="shared" si="177"/>
        <v>18964000</v>
      </c>
      <c r="T208" s="141">
        <f t="shared" si="181"/>
        <v>20101840</v>
      </c>
      <c r="U208" s="141">
        <f t="shared" si="178"/>
        <v>568920</v>
      </c>
      <c r="V208" s="142">
        <f t="shared" si="179"/>
        <v>1137840</v>
      </c>
    </row>
    <row r="209" spans="2:22" x14ac:dyDescent="0.2">
      <c r="B209" s="214" t="s">
        <v>353</v>
      </c>
      <c r="C209" s="152">
        <v>196</v>
      </c>
      <c r="D209" s="215">
        <v>15216000</v>
      </c>
      <c r="E209" s="216">
        <v>0.09</v>
      </c>
      <c r="F209" s="215">
        <f t="shared" si="182"/>
        <v>16585000</v>
      </c>
      <c r="G209" s="219">
        <v>0.01</v>
      </c>
      <c r="H209" s="193">
        <f t="shared" si="183"/>
        <v>16750850</v>
      </c>
      <c r="I209" s="152"/>
      <c r="J209" s="141"/>
      <c r="K209" s="195">
        <f t="shared" si="167"/>
        <v>17.000451009948751</v>
      </c>
      <c r="L209" s="199">
        <v>281952480.00000006</v>
      </c>
      <c r="M209" s="195">
        <f t="shared" si="168"/>
        <v>21.000557129936695</v>
      </c>
      <c r="N209" s="199">
        <v>348294240.00000006</v>
      </c>
      <c r="O209" s="199">
        <f t="shared" si="184"/>
        <v>630246720.00000012</v>
      </c>
      <c r="P209" s="141">
        <f t="shared" si="180"/>
        <v>258672000.00000003</v>
      </c>
      <c r="Q209" s="141">
        <f t="shared" si="175"/>
        <v>274192320.00000006</v>
      </c>
      <c r="R209" s="141">
        <f t="shared" si="176"/>
        <v>7760160</v>
      </c>
      <c r="S209" s="141">
        <f t="shared" si="177"/>
        <v>319536000.00000006</v>
      </c>
      <c r="T209" s="141">
        <f t="shared" si="181"/>
        <v>338708160.00000006</v>
      </c>
      <c r="U209" s="141">
        <f t="shared" si="178"/>
        <v>9586080</v>
      </c>
      <c r="V209" s="142">
        <f t="shared" si="179"/>
        <v>17346240</v>
      </c>
    </row>
    <row r="210" spans="2:22" x14ac:dyDescent="0.2">
      <c r="B210" s="214" t="s">
        <v>350</v>
      </c>
      <c r="C210" s="152">
        <v>198</v>
      </c>
      <c r="D210" s="215">
        <v>9482000</v>
      </c>
      <c r="E210" s="216">
        <v>0.09</v>
      </c>
      <c r="F210" s="215">
        <f t="shared" si="182"/>
        <v>10335000</v>
      </c>
      <c r="G210" s="219">
        <v>0.01</v>
      </c>
      <c r="H210" s="193">
        <f t="shared" si="183"/>
        <v>10438350</v>
      </c>
      <c r="I210" s="152"/>
      <c r="J210" s="141"/>
      <c r="K210" s="195">
        <f t="shared" si="167"/>
        <v>20.800764779874214</v>
      </c>
      <c r="L210" s="199">
        <v>214975904</v>
      </c>
      <c r="M210" s="195">
        <f t="shared" si="168"/>
        <v>21.800801548137397</v>
      </c>
      <c r="N210" s="199">
        <v>225311284</v>
      </c>
      <c r="O210" s="199">
        <f t="shared" si="184"/>
        <v>440287188</v>
      </c>
      <c r="P210" s="141">
        <f t="shared" si="180"/>
        <v>197225600</v>
      </c>
      <c r="Q210" s="141">
        <f t="shared" si="175"/>
        <v>209059136</v>
      </c>
      <c r="R210" s="141">
        <f t="shared" si="176"/>
        <v>5916768</v>
      </c>
      <c r="S210" s="141">
        <f t="shared" si="177"/>
        <v>206707599.99999997</v>
      </c>
      <c r="T210" s="141">
        <f t="shared" si="181"/>
        <v>219110055.99999997</v>
      </c>
      <c r="U210" s="141">
        <f t="shared" si="178"/>
        <v>6201228.0000000298</v>
      </c>
      <c r="V210" s="142">
        <f t="shared" si="179"/>
        <v>12117996.00000003</v>
      </c>
    </row>
    <row r="211" spans="2:22" x14ac:dyDescent="0.2">
      <c r="B211" s="214" t="s">
        <v>332</v>
      </c>
      <c r="C211" s="152">
        <v>192</v>
      </c>
      <c r="D211" s="215">
        <v>15216000</v>
      </c>
      <c r="E211" s="216">
        <v>0.09</v>
      </c>
      <c r="F211" s="215">
        <f t="shared" si="182"/>
        <v>16585000</v>
      </c>
      <c r="G211" s="219">
        <v>0.01</v>
      </c>
      <c r="H211" s="193">
        <f t="shared" si="183"/>
        <v>16750850</v>
      </c>
      <c r="I211" s="152"/>
      <c r="J211" s="141"/>
      <c r="K211" s="195">
        <f t="shared" si="167"/>
        <v>45.501207114862837</v>
      </c>
      <c r="L211" s="199">
        <v>754637520.00000012</v>
      </c>
      <c r="M211" s="195">
        <f t="shared" si="168"/>
        <v>46.301228338860426</v>
      </c>
      <c r="N211" s="199">
        <v>767905872.00000012</v>
      </c>
      <c r="O211" s="199">
        <f t="shared" si="184"/>
        <v>1522543392.0000002</v>
      </c>
      <c r="P211" s="141">
        <f t="shared" si="180"/>
        <v>692328000</v>
      </c>
      <c r="Q211" s="141">
        <f t="shared" si="175"/>
        <v>733867680</v>
      </c>
      <c r="R211" s="141">
        <f t="shared" si="176"/>
        <v>20769840.000000119</v>
      </c>
      <c r="S211" s="141">
        <f t="shared" si="177"/>
        <v>704500800</v>
      </c>
      <c r="T211" s="141">
        <f t="shared" si="181"/>
        <v>746770848</v>
      </c>
      <c r="U211" s="141">
        <f t="shared" si="178"/>
        <v>21135024.000000119</v>
      </c>
      <c r="V211" s="142">
        <f t="shared" si="179"/>
        <v>41904864.000000238</v>
      </c>
    </row>
    <row r="212" spans="2:22" x14ac:dyDescent="0.2">
      <c r="B212" s="214" t="s">
        <v>326</v>
      </c>
      <c r="C212" s="152">
        <v>132</v>
      </c>
      <c r="D212" s="215">
        <v>9482000</v>
      </c>
      <c r="E212" s="216">
        <v>0.09</v>
      </c>
      <c r="F212" s="215">
        <f t="shared" si="182"/>
        <v>10335000</v>
      </c>
      <c r="G212" s="219">
        <v>0.01</v>
      </c>
      <c r="H212" s="193">
        <f t="shared" si="183"/>
        <v>10438350</v>
      </c>
      <c r="I212" s="152"/>
      <c r="J212" s="141"/>
      <c r="K212" s="195">
        <f t="shared" si="167"/>
        <v>3.0001103047895499</v>
      </c>
      <c r="L212" s="199">
        <v>31006140</v>
      </c>
      <c r="M212" s="195">
        <f t="shared" si="168"/>
        <v>3.0001103047895499</v>
      </c>
      <c r="N212" s="199">
        <v>31006140</v>
      </c>
      <c r="O212" s="199">
        <f t="shared" si="184"/>
        <v>62012280</v>
      </c>
      <c r="P212" s="141">
        <f t="shared" si="180"/>
        <v>28445999.999999996</v>
      </c>
      <c r="Q212" s="141">
        <f t="shared" si="175"/>
        <v>30152759.999999996</v>
      </c>
      <c r="R212" s="141">
        <f t="shared" si="176"/>
        <v>853380.00000000373</v>
      </c>
      <c r="S212" s="141">
        <f t="shared" si="177"/>
        <v>28445999.999999996</v>
      </c>
      <c r="T212" s="141">
        <f t="shared" si="181"/>
        <v>30152759.999999996</v>
      </c>
      <c r="U212" s="141">
        <f t="shared" si="178"/>
        <v>853380.00000000373</v>
      </c>
      <c r="V212" s="142">
        <f t="shared" si="179"/>
        <v>1706760.0000000075</v>
      </c>
    </row>
    <row r="213" spans="2:22" x14ac:dyDescent="0.2">
      <c r="B213" s="214" t="s">
        <v>340</v>
      </c>
      <c r="C213" s="152">
        <v>114</v>
      </c>
      <c r="D213" s="215">
        <v>9482000</v>
      </c>
      <c r="E213" s="216">
        <v>0.09</v>
      </c>
      <c r="F213" s="215">
        <f t="shared" si="182"/>
        <v>10335000</v>
      </c>
      <c r="G213" s="219">
        <v>0.01</v>
      </c>
      <c r="H213" s="193">
        <f t="shared" si="183"/>
        <v>10438350</v>
      </c>
      <c r="I213" s="152"/>
      <c r="J213" s="141"/>
      <c r="K213" s="195">
        <f t="shared" si="167"/>
        <v>1.9000698597000483</v>
      </c>
      <c r="L213" s="199">
        <v>19637222</v>
      </c>
      <c r="M213" s="195">
        <f t="shared" si="168"/>
        <v>2.9001066279632317</v>
      </c>
      <c r="N213" s="199">
        <v>29972602</v>
      </c>
      <c r="O213" s="199">
        <f t="shared" si="184"/>
        <v>49609824</v>
      </c>
      <c r="P213" s="141">
        <f t="shared" si="180"/>
        <v>18015800</v>
      </c>
      <c r="Q213" s="141">
        <f t="shared" si="175"/>
        <v>19096748</v>
      </c>
      <c r="R213" s="141">
        <f t="shared" si="176"/>
        <v>540474</v>
      </c>
      <c r="S213" s="141">
        <f t="shared" si="177"/>
        <v>27497799.999999996</v>
      </c>
      <c r="T213" s="141">
        <f t="shared" si="181"/>
        <v>29147667.999999996</v>
      </c>
      <c r="U213" s="141">
        <f t="shared" si="178"/>
        <v>824934.00000000373</v>
      </c>
      <c r="V213" s="142">
        <f t="shared" si="179"/>
        <v>1365408.0000000037</v>
      </c>
    </row>
    <row r="214" spans="2:22" x14ac:dyDescent="0.2">
      <c r="B214" s="214" t="s">
        <v>329</v>
      </c>
      <c r="C214" s="152">
        <v>328</v>
      </c>
      <c r="D214" s="215">
        <v>9482000</v>
      </c>
      <c r="E214" s="216">
        <v>0.09</v>
      </c>
      <c r="F214" s="215">
        <f t="shared" si="182"/>
        <v>10335000</v>
      </c>
      <c r="G214" s="219">
        <v>0.01</v>
      </c>
      <c r="H214" s="193">
        <f t="shared" si="183"/>
        <v>10438350</v>
      </c>
      <c r="I214" s="152"/>
      <c r="J214" s="141"/>
      <c r="K214" s="195">
        <f t="shared" si="167"/>
        <v>4.0001470730527338</v>
      </c>
      <c r="L214" s="199">
        <v>41341520</v>
      </c>
      <c r="M214" s="195">
        <f t="shared" si="168"/>
        <v>4.1001507498790515</v>
      </c>
      <c r="N214" s="199">
        <v>42375058</v>
      </c>
      <c r="O214" s="199">
        <f t="shared" si="184"/>
        <v>83716578</v>
      </c>
      <c r="P214" s="141">
        <f t="shared" si="180"/>
        <v>37928000</v>
      </c>
      <c r="Q214" s="141">
        <f t="shared" si="175"/>
        <v>40203680</v>
      </c>
      <c r="R214" s="141">
        <f t="shared" si="176"/>
        <v>1137840</v>
      </c>
      <c r="S214" s="141">
        <f t="shared" si="177"/>
        <v>38876200</v>
      </c>
      <c r="T214" s="141">
        <f t="shared" si="181"/>
        <v>41208772</v>
      </c>
      <c r="U214" s="141">
        <f t="shared" si="178"/>
        <v>1166286</v>
      </c>
      <c r="V214" s="142">
        <f t="shared" si="179"/>
        <v>2304126</v>
      </c>
    </row>
    <row r="215" spans="2:22" x14ac:dyDescent="0.2">
      <c r="B215" s="214" t="s">
        <v>328</v>
      </c>
      <c r="C215" s="152">
        <v>259</v>
      </c>
      <c r="D215" s="215">
        <v>9482000</v>
      </c>
      <c r="E215" s="216">
        <v>0.09</v>
      </c>
      <c r="F215" s="215">
        <f t="shared" si="182"/>
        <v>10335000</v>
      </c>
      <c r="G215" s="219">
        <v>0.01</v>
      </c>
      <c r="H215" s="193">
        <f t="shared" si="183"/>
        <v>10438350</v>
      </c>
      <c r="I215" s="152"/>
      <c r="J215" s="141"/>
      <c r="K215" s="195">
        <f t="shared" si="167"/>
        <v>7.5002757619738754</v>
      </c>
      <c r="L215" s="199">
        <v>77515350</v>
      </c>
      <c r="M215" s="195">
        <f t="shared" si="168"/>
        <v>7.5002757619738754</v>
      </c>
      <c r="N215" s="199">
        <v>77515350</v>
      </c>
      <c r="O215" s="199">
        <f t="shared" si="184"/>
        <v>155030700</v>
      </c>
      <c r="P215" s="141">
        <f t="shared" si="180"/>
        <v>71115000</v>
      </c>
      <c r="Q215" s="141">
        <f t="shared" si="175"/>
        <v>75381900</v>
      </c>
      <c r="R215" s="141">
        <f t="shared" si="176"/>
        <v>2133450</v>
      </c>
      <c r="S215" s="141">
        <f t="shared" si="177"/>
        <v>71115000</v>
      </c>
      <c r="T215" s="141">
        <f t="shared" si="181"/>
        <v>75381900</v>
      </c>
      <c r="U215" s="141">
        <f t="shared" si="178"/>
        <v>2133450</v>
      </c>
      <c r="V215" s="142">
        <f t="shared" si="179"/>
        <v>4266900</v>
      </c>
    </row>
    <row r="216" spans="2:22" x14ac:dyDescent="0.2">
      <c r="B216" s="214" t="s">
        <v>341</v>
      </c>
      <c r="C216" s="152">
        <v>168</v>
      </c>
      <c r="D216" s="215">
        <v>15216000</v>
      </c>
      <c r="E216" s="216">
        <v>0.09</v>
      </c>
      <c r="F216" s="215">
        <f t="shared" si="182"/>
        <v>16585000</v>
      </c>
      <c r="G216" s="219">
        <v>0.01</v>
      </c>
      <c r="H216" s="193">
        <f t="shared" si="183"/>
        <v>16750850</v>
      </c>
      <c r="I216" s="152"/>
      <c r="J216" s="141"/>
      <c r="K216" s="195">
        <f t="shared" si="167"/>
        <v>6.7001777509798019</v>
      </c>
      <c r="L216" s="199">
        <v>111122448.00000001</v>
      </c>
      <c r="M216" s="195">
        <f t="shared" si="168"/>
        <v>7.6002016279770892</v>
      </c>
      <c r="N216" s="199">
        <v>126049344.00000003</v>
      </c>
      <c r="O216" s="199">
        <f t="shared" si="184"/>
        <v>237171792.00000006</v>
      </c>
      <c r="P216" s="141">
        <f t="shared" si="180"/>
        <v>101947200</v>
      </c>
      <c r="Q216" s="141">
        <f t="shared" si="175"/>
        <v>108064032</v>
      </c>
      <c r="R216" s="141">
        <f t="shared" si="176"/>
        <v>3058416.0000000149</v>
      </c>
      <c r="S216" s="141">
        <f t="shared" si="177"/>
        <v>115641600.00000001</v>
      </c>
      <c r="T216" s="141">
        <f t="shared" si="181"/>
        <v>122580096.00000001</v>
      </c>
      <c r="U216" s="141">
        <f t="shared" si="178"/>
        <v>3469248.0000000149</v>
      </c>
      <c r="V216" s="142">
        <f t="shared" si="179"/>
        <v>6527664.0000000298</v>
      </c>
    </row>
    <row r="217" spans="2:22" x14ac:dyDescent="0.2">
      <c r="B217" s="214" t="s">
        <v>349</v>
      </c>
      <c r="C217" s="152">
        <v>66</v>
      </c>
      <c r="D217" s="215">
        <v>9482000</v>
      </c>
      <c r="E217" s="216">
        <v>0.09</v>
      </c>
      <c r="F217" s="215">
        <f t="shared" si="182"/>
        <v>10335000</v>
      </c>
      <c r="G217" s="219">
        <v>0.01</v>
      </c>
      <c r="H217" s="193">
        <f t="shared" si="183"/>
        <v>10438350</v>
      </c>
      <c r="I217" s="152"/>
      <c r="J217" s="141"/>
      <c r="K217" s="195">
        <f t="shared" si="167"/>
        <v>2.0000735365263669</v>
      </c>
      <c r="L217" s="199">
        <v>20670760</v>
      </c>
      <c r="M217" s="195">
        <f t="shared" si="168"/>
        <v>2.0000735365263669</v>
      </c>
      <c r="N217" s="199">
        <v>20670760</v>
      </c>
      <c r="O217" s="199">
        <f t="shared" si="184"/>
        <v>41341520</v>
      </c>
      <c r="P217" s="141">
        <f t="shared" si="180"/>
        <v>18964000</v>
      </c>
      <c r="Q217" s="141">
        <f t="shared" si="175"/>
        <v>20101840</v>
      </c>
      <c r="R217" s="141">
        <f t="shared" si="176"/>
        <v>568920</v>
      </c>
      <c r="S217" s="141">
        <f t="shared" si="177"/>
        <v>18964000</v>
      </c>
      <c r="T217" s="141">
        <f t="shared" si="181"/>
        <v>20101840</v>
      </c>
      <c r="U217" s="141">
        <f t="shared" si="178"/>
        <v>568920</v>
      </c>
      <c r="V217" s="142">
        <f t="shared" si="179"/>
        <v>1137840</v>
      </c>
    </row>
    <row r="218" spans="2:22" x14ac:dyDescent="0.2">
      <c r="B218" s="214" t="s">
        <v>342</v>
      </c>
      <c r="C218" s="152">
        <v>256</v>
      </c>
      <c r="D218" s="215">
        <v>15216000</v>
      </c>
      <c r="E218" s="216">
        <v>0.09</v>
      </c>
      <c r="F218" s="215">
        <f t="shared" si="182"/>
        <v>16585000</v>
      </c>
      <c r="G218" s="219">
        <v>0.01</v>
      </c>
      <c r="H218" s="193">
        <f t="shared" si="183"/>
        <v>16750850</v>
      </c>
      <c r="I218" s="152"/>
      <c r="J218" s="141"/>
      <c r="K218" s="195">
        <f t="shared" si="167"/>
        <v>21.600573047934883</v>
      </c>
      <c r="L218" s="199">
        <v>358245504.00000006</v>
      </c>
      <c r="M218" s="195">
        <f t="shared" si="168"/>
        <v>21.600573047934883</v>
      </c>
      <c r="N218" s="199">
        <v>358245504.00000006</v>
      </c>
      <c r="O218" s="199">
        <f t="shared" si="184"/>
        <v>716491008.00000012</v>
      </c>
      <c r="P218" s="141">
        <f t="shared" si="180"/>
        <v>328665600.00000006</v>
      </c>
      <c r="Q218" s="141">
        <f t="shared" si="175"/>
        <v>348385536.00000006</v>
      </c>
      <c r="R218" s="141">
        <f t="shared" si="176"/>
        <v>9859968</v>
      </c>
      <c r="S218" s="141">
        <f t="shared" si="177"/>
        <v>328665600.00000006</v>
      </c>
      <c r="T218" s="141">
        <f t="shared" si="181"/>
        <v>348385536.00000006</v>
      </c>
      <c r="U218" s="141">
        <f t="shared" si="178"/>
        <v>9859968</v>
      </c>
      <c r="V218" s="142">
        <f t="shared" si="179"/>
        <v>19719936</v>
      </c>
    </row>
    <row r="219" spans="2:22" x14ac:dyDescent="0.2">
      <c r="B219" s="214" t="s">
        <v>344</v>
      </c>
      <c r="C219" s="152">
        <v>196</v>
      </c>
      <c r="D219" s="215">
        <v>15216000</v>
      </c>
      <c r="E219" s="216">
        <v>0.09</v>
      </c>
      <c r="F219" s="215">
        <f t="shared" si="182"/>
        <v>16585000</v>
      </c>
      <c r="G219" s="219">
        <v>0.01</v>
      </c>
      <c r="H219" s="193">
        <f t="shared" si="183"/>
        <v>16750850</v>
      </c>
      <c r="I219" s="152"/>
      <c r="J219" s="141"/>
      <c r="K219" s="195">
        <f t="shared" si="167"/>
        <v>4.2001114259873384</v>
      </c>
      <c r="L219" s="199">
        <v>69658848.000000015</v>
      </c>
      <c r="M219" s="195">
        <f t="shared" si="168"/>
        <v>4.2001114259873384</v>
      </c>
      <c r="N219" s="199">
        <v>69658848.000000015</v>
      </c>
      <c r="O219" s="199">
        <f t="shared" si="184"/>
        <v>139317696.00000003</v>
      </c>
      <c r="P219" s="141">
        <f t="shared" si="180"/>
        <v>63907200.000000007</v>
      </c>
      <c r="Q219" s="141">
        <f t="shared" si="175"/>
        <v>67741632.000000015</v>
      </c>
      <c r="R219" s="141">
        <f t="shared" si="176"/>
        <v>1917216</v>
      </c>
      <c r="S219" s="141">
        <f t="shared" si="177"/>
        <v>63907200.000000007</v>
      </c>
      <c r="T219" s="141">
        <f t="shared" si="181"/>
        <v>67741632.000000015</v>
      </c>
      <c r="U219" s="141">
        <f t="shared" si="178"/>
        <v>1917216</v>
      </c>
      <c r="V219" s="142">
        <f t="shared" si="179"/>
        <v>3834432</v>
      </c>
    </row>
    <row r="220" spans="2:22" x14ac:dyDescent="0.2">
      <c r="B220" s="214" t="s">
        <v>331</v>
      </c>
      <c r="C220" s="152">
        <v>198</v>
      </c>
      <c r="D220" s="215">
        <v>15216000</v>
      </c>
      <c r="E220" s="216">
        <v>0.09</v>
      </c>
      <c r="F220" s="215">
        <f t="shared" si="182"/>
        <v>16585000</v>
      </c>
      <c r="G220" s="219">
        <v>0.01</v>
      </c>
      <c r="H220" s="193">
        <f t="shared" si="183"/>
        <v>16750850</v>
      </c>
      <c r="I220" s="152"/>
      <c r="J220" s="141"/>
      <c r="K220" s="195">
        <f t="shared" si="167"/>
        <v>6.0001591799819121</v>
      </c>
      <c r="L220" s="199">
        <v>99512640.000000015</v>
      </c>
      <c r="M220" s="195">
        <f t="shared" si="168"/>
        <v>6.0001591799819121</v>
      </c>
      <c r="N220" s="199">
        <v>99512640.000000015</v>
      </c>
      <c r="O220" s="199">
        <f t="shared" si="184"/>
        <v>199025280.00000003</v>
      </c>
      <c r="P220" s="141">
        <f t="shared" si="180"/>
        <v>91296000</v>
      </c>
      <c r="Q220" s="141">
        <f t="shared" si="175"/>
        <v>96773760</v>
      </c>
      <c r="R220" s="141">
        <f t="shared" si="176"/>
        <v>2738880.0000000149</v>
      </c>
      <c r="S220" s="141">
        <f t="shared" si="177"/>
        <v>91296000</v>
      </c>
      <c r="T220" s="141">
        <f t="shared" si="181"/>
        <v>96773760</v>
      </c>
      <c r="U220" s="141">
        <f t="shared" si="178"/>
        <v>2738880.0000000149</v>
      </c>
      <c r="V220" s="142">
        <f t="shared" si="179"/>
        <v>5477760.0000000298</v>
      </c>
    </row>
    <row r="221" spans="2:22" x14ac:dyDescent="0.2">
      <c r="B221" s="214" t="s">
        <v>336</v>
      </c>
      <c r="C221" s="152">
        <v>198</v>
      </c>
      <c r="D221" s="215">
        <v>15216000</v>
      </c>
      <c r="E221" s="216">
        <v>0.09</v>
      </c>
      <c r="F221" s="215">
        <f t="shared" si="182"/>
        <v>16585000</v>
      </c>
      <c r="G221" s="219">
        <v>0.01</v>
      </c>
      <c r="H221" s="193">
        <f t="shared" si="183"/>
        <v>16750850</v>
      </c>
      <c r="I221" s="152"/>
      <c r="J221" s="141"/>
      <c r="K221" s="195">
        <f t="shared" si="167"/>
        <v>36.000955079891476</v>
      </c>
      <c r="L221" s="199">
        <v>597075840.00000012</v>
      </c>
      <c r="M221" s="195">
        <f t="shared" si="168"/>
        <v>35.000928549894489</v>
      </c>
      <c r="N221" s="199">
        <v>580490400.00000012</v>
      </c>
      <c r="O221" s="199">
        <f t="shared" si="184"/>
        <v>1177566240.0000002</v>
      </c>
      <c r="P221" s="141">
        <f t="shared" si="180"/>
        <v>547776000.00000012</v>
      </c>
      <c r="Q221" s="141">
        <f t="shared" si="175"/>
        <v>580642560.00000012</v>
      </c>
      <c r="R221" s="141">
        <f t="shared" si="176"/>
        <v>16433280</v>
      </c>
      <c r="S221" s="141">
        <f t="shared" si="177"/>
        <v>532560000.00000006</v>
      </c>
      <c r="T221" s="141">
        <f t="shared" si="181"/>
        <v>564513600.00000012</v>
      </c>
      <c r="U221" s="141">
        <f t="shared" si="178"/>
        <v>15976800</v>
      </c>
      <c r="V221" s="142">
        <f t="shared" si="179"/>
        <v>32410080</v>
      </c>
    </row>
    <row r="222" spans="2:22" x14ac:dyDescent="0.2">
      <c r="B222" s="214" t="s">
        <v>334</v>
      </c>
      <c r="C222" s="152">
        <v>65</v>
      </c>
      <c r="D222" s="215">
        <v>9482000</v>
      </c>
      <c r="E222" s="216">
        <v>0.09</v>
      </c>
      <c r="F222" s="215">
        <f t="shared" si="182"/>
        <v>10335000</v>
      </c>
      <c r="G222" s="219">
        <v>0.01</v>
      </c>
      <c r="H222" s="193">
        <f t="shared" si="183"/>
        <v>10438350</v>
      </c>
      <c r="I222" s="152"/>
      <c r="J222" s="141"/>
      <c r="K222" s="195">
        <f t="shared" si="167"/>
        <v>3.8001397194000965</v>
      </c>
      <c r="L222" s="199">
        <v>39274444</v>
      </c>
      <c r="M222" s="195">
        <f t="shared" si="168"/>
        <v>3.9001433962264151</v>
      </c>
      <c r="N222" s="199">
        <v>40307982</v>
      </c>
      <c r="O222" s="199">
        <f t="shared" si="184"/>
        <v>79582426</v>
      </c>
      <c r="P222" s="141">
        <f t="shared" si="180"/>
        <v>36031600</v>
      </c>
      <c r="Q222" s="141">
        <f t="shared" si="175"/>
        <v>38193496</v>
      </c>
      <c r="R222" s="141">
        <f t="shared" si="176"/>
        <v>1080948</v>
      </c>
      <c r="S222" s="141">
        <f t="shared" si="177"/>
        <v>36979800</v>
      </c>
      <c r="T222" s="141">
        <f t="shared" si="181"/>
        <v>39198588</v>
      </c>
      <c r="U222" s="141">
        <f t="shared" si="178"/>
        <v>1109394</v>
      </c>
      <c r="V222" s="142">
        <f t="shared" si="179"/>
        <v>2190342</v>
      </c>
    </row>
    <row r="223" spans="2:22" x14ac:dyDescent="0.2">
      <c r="B223" s="214" t="s">
        <v>335</v>
      </c>
      <c r="C223" s="152">
        <v>101</v>
      </c>
      <c r="D223" s="215">
        <v>9482000</v>
      </c>
      <c r="E223" s="216">
        <v>0.09</v>
      </c>
      <c r="F223" s="215">
        <f t="shared" si="182"/>
        <v>10335000</v>
      </c>
      <c r="G223" s="219">
        <v>0.01</v>
      </c>
      <c r="H223" s="193">
        <f t="shared" si="183"/>
        <v>10438350</v>
      </c>
      <c r="I223" s="152"/>
      <c r="J223" s="141"/>
      <c r="K223" s="195">
        <f t="shared" si="167"/>
        <v>5.8002132559264634</v>
      </c>
      <c r="L223" s="199">
        <v>59945204</v>
      </c>
      <c r="M223" s="195">
        <f t="shared" si="168"/>
        <v>5.8002132559264634</v>
      </c>
      <c r="N223" s="199">
        <v>59945204</v>
      </c>
      <c r="O223" s="199">
        <f t="shared" si="184"/>
        <v>119890408</v>
      </c>
      <c r="P223" s="141">
        <f t="shared" si="180"/>
        <v>54995599.999999993</v>
      </c>
      <c r="Q223" s="141">
        <f t="shared" si="175"/>
        <v>58295335.999999993</v>
      </c>
      <c r="R223" s="141">
        <f t="shared" si="176"/>
        <v>1649868.0000000075</v>
      </c>
      <c r="S223" s="141">
        <f t="shared" si="177"/>
        <v>54995599.999999993</v>
      </c>
      <c r="T223" s="141">
        <f t="shared" si="181"/>
        <v>58295335.999999993</v>
      </c>
      <c r="U223" s="141">
        <f t="shared" si="178"/>
        <v>1649868.0000000075</v>
      </c>
      <c r="V223" s="142">
        <f t="shared" si="179"/>
        <v>3299736.0000000149</v>
      </c>
    </row>
    <row r="224" spans="2:22" x14ac:dyDescent="0.2">
      <c r="B224" s="214" t="s">
        <v>333</v>
      </c>
      <c r="C224" s="152">
        <v>198</v>
      </c>
      <c r="D224" s="215">
        <v>11062000</v>
      </c>
      <c r="E224" s="216">
        <v>0.09</v>
      </c>
      <c r="F224" s="215">
        <f t="shared" si="182"/>
        <v>12058000</v>
      </c>
      <c r="G224" s="219">
        <v>0.01</v>
      </c>
      <c r="H224" s="193">
        <f t="shared" si="183"/>
        <v>12178580</v>
      </c>
      <c r="I224" s="152"/>
      <c r="J224" s="141"/>
      <c r="K224" s="195">
        <f t="shared" si="167"/>
        <v>26.899063028694641</v>
      </c>
      <c r="L224" s="199">
        <v>324348902</v>
      </c>
      <c r="M224" s="195">
        <f t="shared" si="168"/>
        <v>28.798996848565267</v>
      </c>
      <c r="N224" s="199">
        <v>347258304</v>
      </c>
      <c r="O224" s="199">
        <f t="shared" si="184"/>
        <v>671607206</v>
      </c>
      <c r="P224" s="141">
        <f t="shared" si="180"/>
        <v>297567800</v>
      </c>
      <c r="Q224" s="141">
        <f t="shared" si="175"/>
        <v>315421868</v>
      </c>
      <c r="R224" s="141">
        <f t="shared" si="176"/>
        <v>8927034</v>
      </c>
      <c r="S224" s="141">
        <f t="shared" si="177"/>
        <v>318585600</v>
      </c>
      <c r="T224" s="141">
        <f t="shared" si="181"/>
        <v>337700736</v>
      </c>
      <c r="U224" s="141">
        <f t="shared" si="178"/>
        <v>9557568</v>
      </c>
      <c r="V224" s="142">
        <f t="shared" si="179"/>
        <v>18484602</v>
      </c>
    </row>
    <row r="225" spans="2:22" x14ac:dyDescent="0.2">
      <c r="B225" s="214" t="s">
        <v>345</v>
      </c>
      <c r="C225" s="152">
        <v>256</v>
      </c>
      <c r="D225" s="215">
        <v>15216000</v>
      </c>
      <c r="E225" s="216">
        <v>0.09</v>
      </c>
      <c r="F225" s="215">
        <f t="shared" si="182"/>
        <v>16585000</v>
      </c>
      <c r="G225" s="219">
        <v>0.01</v>
      </c>
      <c r="H225" s="193">
        <f t="shared" si="183"/>
        <v>16750850</v>
      </c>
      <c r="I225" s="152"/>
      <c r="J225" s="141"/>
      <c r="K225" s="195">
        <f t="shared" si="167"/>
        <v>15.500411214953274</v>
      </c>
      <c r="L225" s="199">
        <v>257074320.00000006</v>
      </c>
      <c r="M225" s="195">
        <f t="shared" si="168"/>
        <v>14.400382031956591</v>
      </c>
      <c r="N225" s="199">
        <v>238830336.00000006</v>
      </c>
      <c r="O225" s="199">
        <f t="shared" si="184"/>
        <v>495904656.00000012</v>
      </c>
      <c r="P225" s="141">
        <f t="shared" si="180"/>
        <v>235848000.00000003</v>
      </c>
      <c r="Q225" s="141">
        <f t="shared" si="175"/>
        <v>249998880.00000003</v>
      </c>
      <c r="R225" s="141">
        <f t="shared" si="176"/>
        <v>7075440.0000000298</v>
      </c>
      <c r="S225" s="141">
        <f t="shared" si="177"/>
        <v>219110400.00000003</v>
      </c>
      <c r="T225" s="141">
        <f t="shared" si="181"/>
        <v>232257024.00000003</v>
      </c>
      <c r="U225" s="141">
        <f t="shared" si="178"/>
        <v>6573312.0000000298</v>
      </c>
      <c r="V225" s="142">
        <f t="shared" si="179"/>
        <v>13648752.00000006</v>
      </c>
    </row>
    <row r="226" spans="2:22" x14ac:dyDescent="0.2">
      <c r="B226" s="214" t="s">
        <v>346</v>
      </c>
      <c r="C226" s="152">
        <v>245</v>
      </c>
      <c r="D226" s="215">
        <v>15216000</v>
      </c>
      <c r="E226" s="216">
        <v>0.09</v>
      </c>
      <c r="F226" s="215">
        <f t="shared" si="182"/>
        <v>16585000</v>
      </c>
      <c r="G226" s="219">
        <v>0.01</v>
      </c>
      <c r="H226" s="193">
        <f t="shared" si="183"/>
        <v>16750850</v>
      </c>
      <c r="I226" s="152"/>
      <c r="J226" s="141"/>
      <c r="K226" s="195">
        <f t="shared" si="167"/>
        <v>7.5001989749773905</v>
      </c>
      <c r="L226" s="199">
        <v>124390800.00000001</v>
      </c>
      <c r="M226" s="195">
        <f t="shared" si="168"/>
        <v>7.5001989749773905</v>
      </c>
      <c r="N226" s="199">
        <v>124390800.00000001</v>
      </c>
      <c r="O226" s="199">
        <f t="shared" si="184"/>
        <v>248781600.00000003</v>
      </c>
      <c r="P226" s="141">
        <f t="shared" si="180"/>
        <v>114120000</v>
      </c>
      <c r="Q226" s="141">
        <f t="shared" si="175"/>
        <v>120967200</v>
      </c>
      <c r="R226" s="141">
        <f t="shared" si="176"/>
        <v>3423600.0000000149</v>
      </c>
      <c r="S226" s="141">
        <f t="shared" si="177"/>
        <v>114120000</v>
      </c>
      <c r="T226" s="141">
        <f t="shared" si="181"/>
        <v>120967200</v>
      </c>
      <c r="U226" s="141">
        <f t="shared" si="178"/>
        <v>3423600.0000000149</v>
      </c>
      <c r="V226" s="142">
        <f t="shared" si="179"/>
        <v>6847200.0000000298</v>
      </c>
    </row>
    <row r="227" spans="2:22" x14ac:dyDescent="0.2">
      <c r="B227" s="214" t="s">
        <v>330</v>
      </c>
      <c r="C227" s="152">
        <v>57</v>
      </c>
      <c r="D227" s="215">
        <v>8500000</v>
      </c>
      <c r="E227" s="216">
        <v>0.09</v>
      </c>
      <c r="F227" s="215">
        <f t="shared" si="182"/>
        <v>9265000</v>
      </c>
      <c r="G227" s="216">
        <v>0.02</v>
      </c>
      <c r="H227" s="193">
        <f t="shared" si="183"/>
        <v>9450300</v>
      </c>
      <c r="I227" s="216">
        <v>2.5000000000000001E-2</v>
      </c>
      <c r="J227" s="193">
        <f>+(F227*I227)+F227</f>
        <v>9496625</v>
      </c>
      <c r="K227" s="195">
        <f t="shared" si="167"/>
        <v>9</v>
      </c>
      <c r="L227" s="199">
        <v>83385000</v>
      </c>
      <c r="M227" s="195">
        <f t="shared" si="168"/>
        <v>9</v>
      </c>
      <c r="N227" s="199">
        <v>83385000</v>
      </c>
      <c r="O227" s="199">
        <f t="shared" si="184"/>
        <v>166770000</v>
      </c>
      <c r="P227" s="141">
        <f t="shared" si="180"/>
        <v>76500000</v>
      </c>
      <c r="Q227" s="141">
        <f t="shared" si="175"/>
        <v>81090000</v>
      </c>
      <c r="R227" s="141">
        <f t="shared" si="176"/>
        <v>2295000</v>
      </c>
      <c r="S227" s="141">
        <f t="shared" si="177"/>
        <v>76500000</v>
      </c>
      <c r="T227" s="141">
        <f t="shared" si="181"/>
        <v>81090000</v>
      </c>
      <c r="U227" s="141">
        <f t="shared" si="178"/>
        <v>2295000</v>
      </c>
      <c r="V227" s="142">
        <f t="shared" si="179"/>
        <v>4590000</v>
      </c>
    </row>
    <row r="228" spans="2:22" x14ac:dyDescent="0.2">
      <c r="B228" s="214" t="s">
        <v>498</v>
      </c>
      <c r="C228" s="152">
        <v>58</v>
      </c>
      <c r="D228" s="215">
        <v>13370000</v>
      </c>
      <c r="E228" s="216">
        <v>0</v>
      </c>
      <c r="F228" s="215">
        <f t="shared" si="182"/>
        <v>13370000</v>
      </c>
      <c r="G228" s="216">
        <v>0.02</v>
      </c>
      <c r="H228" s="193">
        <f t="shared" si="183"/>
        <v>13637400</v>
      </c>
      <c r="I228" s="152"/>
      <c r="J228" s="141"/>
      <c r="K228" s="195">
        <f t="shared" si="167"/>
        <v>14.82</v>
      </c>
      <c r="L228" s="199">
        <v>198143400</v>
      </c>
      <c r="M228" s="195">
        <f t="shared" si="168"/>
        <v>15.038</v>
      </c>
      <c r="N228" s="199">
        <v>201058060</v>
      </c>
      <c r="O228" s="199">
        <f t="shared" si="184"/>
        <v>399201460</v>
      </c>
      <c r="P228" s="141">
        <f t="shared" si="180"/>
        <v>198143400</v>
      </c>
      <c r="Q228" s="141">
        <f t="shared" si="175"/>
        <v>210032004</v>
      </c>
      <c r="R228" s="141">
        <f t="shared" si="176"/>
        <v>-11888604</v>
      </c>
      <c r="S228" s="141">
        <f t="shared" si="177"/>
        <v>201058060</v>
      </c>
      <c r="T228" s="141">
        <f t="shared" si="181"/>
        <v>213121543.59999999</v>
      </c>
      <c r="U228" s="141">
        <f t="shared" si="178"/>
        <v>-12063483.599999994</v>
      </c>
      <c r="V228" s="142">
        <f t="shared" si="179"/>
        <v>-23952087.599999994</v>
      </c>
    </row>
    <row r="229" spans="2:22" x14ac:dyDescent="0.2">
      <c r="B229" s="221" t="s">
        <v>499</v>
      </c>
      <c r="C229" s="152">
        <v>189</v>
      </c>
      <c r="D229" s="215"/>
      <c r="E229" s="216"/>
      <c r="F229" s="215">
        <v>16585000</v>
      </c>
      <c r="G229" s="216"/>
      <c r="H229" s="193"/>
      <c r="I229" s="152"/>
      <c r="J229" s="141"/>
      <c r="K229" s="195">
        <f t="shared" si="167"/>
        <v>1.7999946940006029</v>
      </c>
      <c r="L229" s="199">
        <v>29852912</v>
      </c>
      <c r="M229" s="195">
        <f t="shared" si="168"/>
        <v>3.6999920410009044</v>
      </c>
      <c r="N229" s="199">
        <v>61364368</v>
      </c>
      <c r="O229" s="199">
        <f t="shared" si="184"/>
        <v>91217280</v>
      </c>
      <c r="P229" s="141">
        <f t="shared" si="180"/>
        <v>29852912</v>
      </c>
      <c r="Q229" s="141">
        <f t="shared" si="175"/>
        <v>31644086.719999999</v>
      </c>
      <c r="R229" s="141">
        <f t="shared" si="176"/>
        <v>-1791174.7199999988</v>
      </c>
      <c r="S229" s="141">
        <f t="shared" si="177"/>
        <v>61364368</v>
      </c>
      <c r="T229" s="141">
        <f t="shared" si="181"/>
        <v>65046230.079999998</v>
      </c>
      <c r="U229" s="141">
        <f t="shared" si="178"/>
        <v>-3681862.0799999982</v>
      </c>
      <c r="V229" s="142">
        <f t="shared" si="179"/>
        <v>-5473036.799999997</v>
      </c>
    </row>
    <row r="230" spans="2:22" x14ac:dyDescent="0.2">
      <c r="B230" s="217" t="s">
        <v>534</v>
      </c>
      <c r="C230" s="152"/>
      <c r="D230" s="215"/>
      <c r="E230" s="216"/>
      <c r="F230" s="215"/>
      <c r="G230" s="152"/>
      <c r="H230" s="141"/>
      <c r="I230" s="152"/>
      <c r="J230" s="141"/>
      <c r="K230" s="218"/>
      <c r="L230" s="141"/>
      <c r="M230" s="218"/>
      <c r="N230" s="141"/>
      <c r="O230" s="141"/>
      <c r="P230" s="141"/>
      <c r="Q230" s="141"/>
      <c r="R230" s="141"/>
      <c r="S230" s="141"/>
      <c r="T230" s="141"/>
      <c r="U230" s="141"/>
      <c r="V230" s="142"/>
    </row>
    <row r="231" spans="2:22" x14ac:dyDescent="0.2">
      <c r="B231" s="214" t="s">
        <v>355</v>
      </c>
      <c r="C231" s="152"/>
      <c r="D231" s="215">
        <v>8460000</v>
      </c>
      <c r="E231" s="216">
        <v>0.09</v>
      </c>
      <c r="F231" s="215">
        <f t="shared" ref="F231:F259" si="185">+ROUND((D231*E231)+D231,-3)</f>
        <v>9221000</v>
      </c>
      <c r="G231" s="216">
        <v>0.02</v>
      </c>
      <c r="H231" s="193">
        <f t="shared" ref="H231:H232" si="186">+(F231*G231)+F231</f>
        <v>9405420</v>
      </c>
      <c r="I231" s="216">
        <v>2.5000000000000001E-2</v>
      </c>
      <c r="J231" s="193">
        <f t="shared" ref="J231:J232" si="187">+(F231*I231)+F231</f>
        <v>9451525</v>
      </c>
      <c r="K231" s="195">
        <f t="shared" si="167"/>
        <v>0</v>
      </c>
      <c r="L231" s="141"/>
      <c r="M231" s="218"/>
      <c r="N231" s="141"/>
      <c r="O231" s="141">
        <f t="shared" ref="O231:O232" si="188">L231+N231</f>
        <v>0</v>
      </c>
      <c r="P231" s="141">
        <f t="shared" si="180"/>
        <v>0</v>
      </c>
      <c r="Q231" s="141">
        <f t="shared" si="175"/>
        <v>0</v>
      </c>
      <c r="R231" s="141">
        <f t="shared" si="176"/>
        <v>0</v>
      </c>
      <c r="S231" s="141">
        <f t="shared" si="177"/>
        <v>0</v>
      </c>
      <c r="T231" s="141">
        <f t="shared" si="181"/>
        <v>0</v>
      </c>
      <c r="U231" s="141">
        <f t="shared" si="178"/>
        <v>0</v>
      </c>
      <c r="V231" s="142">
        <f t="shared" si="179"/>
        <v>0</v>
      </c>
    </row>
    <row r="232" spans="2:22" x14ac:dyDescent="0.2">
      <c r="B232" s="214" t="s">
        <v>356</v>
      </c>
      <c r="C232" s="152">
        <v>48</v>
      </c>
      <c r="D232" s="215">
        <v>9756000</v>
      </c>
      <c r="E232" s="216">
        <v>0.09</v>
      </c>
      <c r="F232" s="215">
        <f t="shared" si="185"/>
        <v>10634000</v>
      </c>
      <c r="G232" s="216">
        <v>0.02</v>
      </c>
      <c r="H232" s="193">
        <f t="shared" si="186"/>
        <v>10846680</v>
      </c>
      <c r="I232" s="216">
        <v>2.5000000000000001E-2</v>
      </c>
      <c r="J232" s="193">
        <f t="shared" si="187"/>
        <v>10899850</v>
      </c>
      <c r="K232" s="195">
        <f t="shared" ref="K232:K261" si="189">+L232/F232</f>
        <v>19.899999999999999</v>
      </c>
      <c r="L232" s="199">
        <v>211616600</v>
      </c>
      <c r="M232" s="195">
        <f t="shared" ref="M232" si="190">+N232/F232</f>
        <v>41.2</v>
      </c>
      <c r="N232" s="199">
        <v>438120800</v>
      </c>
      <c r="O232" s="199">
        <f t="shared" si="188"/>
        <v>649737400</v>
      </c>
      <c r="P232" s="141">
        <f t="shared" si="180"/>
        <v>194143669.72477064</v>
      </c>
      <c r="Q232" s="141">
        <f t="shared" si="175"/>
        <v>205792289.90825689</v>
      </c>
      <c r="R232" s="141">
        <f t="shared" si="176"/>
        <v>5824310.0917431116</v>
      </c>
      <c r="S232" s="141">
        <f t="shared" si="177"/>
        <v>401945688.07339448</v>
      </c>
      <c r="T232" s="141">
        <f t="shared" si="181"/>
        <v>426062429.35779816</v>
      </c>
      <c r="U232" s="141">
        <f t="shared" si="178"/>
        <v>12058370.642201841</v>
      </c>
      <c r="V232" s="142">
        <f t="shared" si="179"/>
        <v>17882680.733944952</v>
      </c>
    </row>
    <row r="233" spans="2:22" x14ac:dyDescent="0.2">
      <c r="B233" s="217" t="s">
        <v>535</v>
      </c>
      <c r="C233" s="152"/>
      <c r="D233" s="215"/>
      <c r="E233" s="216"/>
      <c r="F233" s="215"/>
      <c r="G233" s="152"/>
      <c r="H233" s="141"/>
      <c r="I233" s="152"/>
      <c r="J233" s="141"/>
      <c r="K233" s="218"/>
      <c r="L233" s="141"/>
      <c r="M233" s="218"/>
      <c r="N233" s="141"/>
      <c r="O233" s="141"/>
      <c r="P233" s="141"/>
      <c r="Q233" s="141"/>
      <c r="R233" s="141"/>
      <c r="S233" s="141"/>
      <c r="T233" s="141">
        <f t="shared" si="181"/>
        <v>0</v>
      </c>
      <c r="U233" s="141">
        <f t="shared" si="178"/>
        <v>0</v>
      </c>
      <c r="V233" s="142">
        <f t="shared" si="179"/>
        <v>0</v>
      </c>
    </row>
    <row r="234" spans="2:22" x14ac:dyDescent="0.2">
      <c r="B234" s="214" t="s">
        <v>363</v>
      </c>
      <c r="C234" s="152">
        <v>260</v>
      </c>
      <c r="D234" s="215">
        <v>14109000</v>
      </c>
      <c r="E234" s="216">
        <v>0.09</v>
      </c>
      <c r="F234" s="215">
        <f t="shared" ref="F234:F240" si="191">+ROUND((D234*E234)+D234,-3)</f>
        <v>15379000</v>
      </c>
      <c r="G234" s="216">
        <v>0.02</v>
      </c>
      <c r="H234" s="193">
        <f t="shared" ref="H234:H240" si="192">+(F234*G234)+F234</f>
        <v>15686580</v>
      </c>
      <c r="I234" s="152"/>
      <c r="J234" s="141"/>
      <c r="K234" s="195">
        <f t="shared" si="189"/>
        <v>14.899814682359063</v>
      </c>
      <c r="L234" s="199">
        <v>229144250.00000003</v>
      </c>
      <c r="M234" s="195">
        <f t="shared" ref="M234:M240" si="193">+N234/F234</f>
        <v>12.899839391377855</v>
      </c>
      <c r="N234" s="199">
        <v>198386630.00000003</v>
      </c>
      <c r="O234" s="199">
        <f t="shared" ref="O234:O240" si="194">L234+N234</f>
        <v>427530880.00000006</v>
      </c>
      <c r="P234" s="141">
        <f t="shared" si="180"/>
        <v>210224082.56880736</v>
      </c>
      <c r="Q234" s="141">
        <f t="shared" si="175"/>
        <v>222837527.52293581</v>
      </c>
      <c r="R234" s="141">
        <f t="shared" si="176"/>
        <v>6306722.4770642221</v>
      </c>
      <c r="S234" s="141">
        <f t="shared" si="177"/>
        <v>182006082.56880736</v>
      </c>
      <c r="T234" s="141">
        <f t="shared" si="181"/>
        <v>192926447.52293581</v>
      </c>
      <c r="U234" s="141">
        <f t="shared" si="178"/>
        <v>5460182.4770642221</v>
      </c>
      <c r="V234" s="142">
        <f t="shared" si="179"/>
        <v>11766904.954128444</v>
      </c>
    </row>
    <row r="235" spans="2:22" x14ac:dyDescent="0.2">
      <c r="B235" s="214" t="s">
        <v>357</v>
      </c>
      <c r="C235" s="152">
        <v>108</v>
      </c>
      <c r="D235" s="215">
        <v>14109000</v>
      </c>
      <c r="E235" s="216">
        <v>0.09</v>
      </c>
      <c r="F235" s="215">
        <f t="shared" si="191"/>
        <v>15379000</v>
      </c>
      <c r="G235" s="216">
        <v>0.02</v>
      </c>
      <c r="H235" s="193">
        <f t="shared" si="192"/>
        <v>15686580</v>
      </c>
      <c r="I235" s="152"/>
      <c r="J235" s="141"/>
      <c r="K235" s="195">
        <f t="shared" si="189"/>
        <v>11.799851745887251</v>
      </c>
      <c r="L235" s="199">
        <v>181469920.00000003</v>
      </c>
      <c r="M235" s="195">
        <f t="shared" si="193"/>
        <v>11.799851745887251</v>
      </c>
      <c r="N235" s="199">
        <v>181469920.00000003</v>
      </c>
      <c r="O235" s="199">
        <f t="shared" si="194"/>
        <v>362939840.00000006</v>
      </c>
      <c r="P235" s="141">
        <f t="shared" si="180"/>
        <v>166486165.1376147</v>
      </c>
      <c r="Q235" s="141">
        <f t="shared" si="175"/>
        <v>176475335.04587159</v>
      </c>
      <c r="R235" s="141">
        <f t="shared" si="176"/>
        <v>4994584.9541284442</v>
      </c>
      <c r="S235" s="141">
        <f t="shared" si="177"/>
        <v>166486165.1376147</v>
      </c>
      <c r="T235" s="141">
        <f t="shared" si="181"/>
        <v>176475335.04587159</v>
      </c>
      <c r="U235" s="141">
        <f t="shared" si="178"/>
        <v>4994584.9541284442</v>
      </c>
      <c r="V235" s="142">
        <f t="shared" si="179"/>
        <v>9989169.9082568884</v>
      </c>
    </row>
    <row r="236" spans="2:22" x14ac:dyDescent="0.2">
      <c r="B236" s="214" t="s">
        <v>362</v>
      </c>
      <c r="C236" s="152">
        <v>107</v>
      </c>
      <c r="D236" s="215">
        <v>14109000</v>
      </c>
      <c r="E236" s="216">
        <v>0.09</v>
      </c>
      <c r="F236" s="215">
        <f t="shared" si="191"/>
        <v>15379000</v>
      </c>
      <c r="G236" s="216">
        <v>0.02</v>
      </c>
      <c r="H236" s="193">
        <f t="shared" si="192"/>
        <v>15686580</v>
      </c>
      <c r="I236" s="152"/>
      <c r="J236" s="141"/>
      <c r="K236" s="195">
        <f t="shared" si="189"/>
        <v>12.799827036868459</v>
      </c>
      <c r="L236" s="199">
        <v>196848540.00000003</v>
      </c>
      <c r="M236" s="195">
        <f t="shared" si="193"/>
        <v>11.999827036868458</v>
      </c>
      <c r="N236" s="199">
        <v>184545340.00000003</v>
      </c>
      <c r="O236" s="199">
        <f t="shared" si="194"/>
        <v>381393880.00000006</v>
      </c>
      <c r="P236" s="141">
        <f t="shared" si="180"/>
        <v>180594990.82568809</v>
      </c>
      <c r="Q236" s="141">
        <f t="shared" si="175"/>
        <v>191430690.27522939</v>
      </c>
      <c r="R236" s="141">
        <f t="shared" si="176"/>
        <v>5417849.7247706354</v>
      </c>
      <c r="S236" s="141">
        <f t="shared" si="177"/>
        <v>169307651.37614679</v>
      </c>
      <c r="T236" s="141">
        <f t="shared" si="181"/>
        <v>179466110.45871559</v>
      </c>
      <c r="U236" s="141">
        <f t="shared" si="178"/>
        <v>5079229.5412844419</v>
      </c>
      <c r="V236" s="142">
        <f t="shared" si="179"/>
        <v>10497079.266055077</v>
      </c>
    </row>
    <row r="237" spans="2:22" x14ac:dyDescent="0.2">
      <c r="B237" s="214" t="s">
        <v>359</v>
      </c>
      <c r="C237" s="152">
        <v>165</v>
      </c>
      <c r="D237" s="215">
        <v>14109000</v>
      </c>
      <c r="E237" s="216">
        <v>0.09</v>
      </c>
      <c r="F237" s="215">
        <f t="shared" si="191"/>
        <v>15379000</v>
      </c>
      <c r="G237" s="216">
        <v>0.02</v>
      </c>
      <c r="H237" s="193">
        <f t="shared" si="192"/>
        <v>15686580</v>
      </c>
      <c r="I237" s="152"/>
      <c r="J237" s="141"/>
      <c r="K237" s="195">
        <f t="shared" si="189"/>
        <v>15.000313414396258</v>
      </c>
      <c r="L237" s="199">
        <v>230689820.00000006</v>
      </c>
      <c r="M237" s="195">
        <f t="shared" si="193"/>
        <v>16.500294882632165</v>
      </c>
      <c r="N237" s="199">
        <v>253758035.00000006</v>
      </c>
      <c r="O237" s="199">
        <f t="shared" si="194"/>
        <v>484447855.00000012</v>
      </c>
      <c r="P237" s="141">
        <f t="shared" si="180"/>
        <v>211642036.69724774</v>
      </c>
      <c r="Q237" s="141">
        <f t="shared" si="175"/>
        <v>224340558.8990826</v>
      </c>
      <c r="R237" s="141">
        <f t="shared" si="176"/>
        <v>6349261.1009174585</v>
      </c>
      <c r="S237" s="141">
        <f t="shared" si="177"/>
        <v>232805536.69724774</v>
      </c>
      <c r="T237" s="141">
        <f t="shared" si="181"/>
        <v>246773868.8990826</v>
      </c>
      <c r="U237" s="141">
        <f t="shared" si="178"/>
        <v>6984166.1009174585</v>
      </c>
      <c r="V237" s="142">
        <f t="shared" si="179"/>
        <v>13333427.201834917</v>
      </c>
    </row>
    <row r="238" spans="2:22" x14ac:dyDescent="0.2">
      <c r="B238" s="214" t="s">
        <v>358</v>
      </c>
      <c r="C238" s="152">
        <v>109</v>
      </c>
      <c r="D238" s="215">
        <v>14109000</v>
      </c>
      <c r="E238" s="216">
        <v>0.09</v>
      </c>
      <c r="F238" s="215">
        <f t="shared" si="191"/>
        <v>15379000</v>
      </c>
      <c r="G238" s="216">
        <v>0.02</v>
      </c>
      <c r="H238" s="193">
        <f t="shared" si="192"/>
        <v>15686580</v>
      </c>
      <c r="I238" s="152"/>
      <c r="J238" s="141"/>
      <c r="K238" s="195">
        <f t="shared" si="189"/>
        <v>22.699715846283897</v>
      </c>
      <c r="L238" s="199">
        <v>349098930.00000006</v>
      </c>
      <c r="M238" s="195">
        <f t="shared" si="193"/>
        <v>19.800078028480399</v>
      </c>
      <c r="N238" s="199">
        <v>304505400.00000006</v>
      </c>
      <c r="O238" s="199">
        <f t="shared" si="194"/>
        <v>653604330.00000012</v>
      </c>
      <c r="P238" s="141">
        <f t="shared" si="180"/>
        <v>320274247.70642203</v>
      </c>
      <c r="Q238" s="141">
        <f t="shared" si="175"/>
        <v>339490702.56880736</v>
      </c>
      <c r="R238" s="141">
        <f t="shared" si="176"/>
        <v>9608227.4311926961</v>
      </c>
      <c r="S238" s="141">
        <f t="shared" si="177"/>
        <v>279362752.29357803</v>
      </c>
      <c r="T238" s="141">
        <f t="shared" si="181"/>
        <v>296124517.4311927</v>
      </c>
      <c r="U238" s="141">
        <f t="shared" si="178"/>
        <v>8380882.5688073635</v>
      </c>
      <c r="V238" s="142">
        <f t="shared" si="179"/>
        <v>17989110.00000006</v>
      </c>
    </row>
    <row r="239" spans="2:22" x14ac:dyDescent="0.2">
      <c r="B239" s="214" t="s">
        <v>360</v>
      </c>
      <c r="C239" s="152">
        <v>101</v>
      </c>
      <c r="D239" s="215">
        <v>14109000</v>
      </c>
      <c r="E239" s="216">
        <v>0.09</v>
      </c>
      <c r="F239" s="215">
        <f t="shared" si="191"/>
        <v>15379000</v>
      </c>
      <c r="G239" s="216">
        <v>0.02</v>
      </c>
      <c r="H239" s="193">
        <f t="shared" si="192"/>
        <v>15686580</v>
      </c>
      <c r="I239" s="152"/>
      <c r="J239" s="141"/>
      <c r="K239" s="195">
        <f t="shared" si="189"/>
        <v>18.599962286234479</v>
      </c>
      <c r="L239" s="199">
        <v>286048820.00000006</v>
      </c>
      <c r="M239" s="195">
        <f t="shared" si="193"/>
        <v>18.599962286234479</v>
      </c>
      <c r="N239" s="199">
        <v>286048820.00000006</v>
      </c>
      <c r="O239" s="199">
        <f t="shared" si="194"/>
        <v>572097640.00000012</v>
      </c>
      <c r="P239" s="141">
        <f t="shared" si="180"/>
        <v>262430110.09174314</v>
      </c>
      <c r="Q239" s="141">
        <f t="shared" si="175"/>
        <v>278175916.69724774</v>
      </c>
      <c r="R239" s="141">
        <f t="shared" si="176"/>
        <v>7872903.302752316</v>
      </c>
      <c r="S239" s="141">
        <f t="shared" si="177"/>
        <v>262430110.09174314</v>
      </c>
      <c r="T239" s="141">
        <f t="shared" si="181"/>
        <v>278175916.69724774</v>
      </c>
      <c r="U239" s="141">
        <f t="shared" si="178"/>
        <v>7872903.302752316</v>
      </c>
      <c r="V239" s="142">
        <f t="shared" si="179"/>
        <v>15745806.605504632</v>
      </c>
    </row>
    <row r="240" spans="2:22" x14ac:dyDescent="0.2">
      <c r="B240" s="214" t="s">
        <v>361</v>
      </c>
      <c r="C240" s="152">
        <v>115</v>
      </c>
      <c r="D240" s="215">
        <v>14109000</v>
      </c>
      <c r="E240" s="216">
        <v>0.09</v>
      </c>
      <c r="F240" s="215">
        <f t="shared" si="191"/>
        <v>15379000</v>
      </c>
      <c r="G240" s="216">
        <v>0.02</v>
      </c>
      <c r="H240" s="193">
        <f t="shared" si="192"/>
        <v>15686580</v>
      </c>
      <c r="I240" s="152"/>
      <c r="J240" s="141"/>
      <c r="K240" s="195">
        <f t="shared" si="189"/>
        <v>30.599592301189944</v>
      </c>
      <c r="L240" s="199">
        <v>470591130.00000012</v>
      </c>
      <c r="M240" s="195">
        <f t="shared" si="193"/>
        <v>22.799703491774501</v>
      </c>
      <c r="N240" s="199">
        <v>350636640.00000006</v>
      </c>
      <c r="O240" s="223">
        <f t="shared" si="194"/>
        <v>821227770.00000024</v>
      </c>
      <c r="P240" s="141">
        <f t="shared" si="180"/>
        <v>431734981.65137625</v>
      </c>
      <c r="Q240" s="141">
        <f t="shared" si="175"/>
        <v>457639080.55045885</v>
      </c>
      <c r="R240" s="141">
        <f t="shared" si="176"/>
        <v>12952049.449541271</v>
      </c>
      <c r="S240" s="141">
        <f t="shared" si="177"/>
        <v>321684990.82568812</v>
      </c>
      <c r="T240" s="141">
        <f t="shared" si="181"/>
        <v>340986090.27522939</v>
      </c>
      <c r="U240" s="141">
        <f t="shared" si="178"/>
        <v>9650549.7247706652</v>
      </c>
      <c r="V240" s="142">
        <f t="shared" si="179"/>
        <v>22602599.174311936</v>
      </c>
    </row>
    <row r="241" spans="2:22" x14ac:dyDescent="0.2">
      <c r="B241" s="217" t="s">
        <v>545</v>
      </c>
      <c r="C241" s="152"/>
      <c r="D241" s="215"/>
      <c r="E241" s="216"/>
      <c r="F241" s="215"/>
      <c r="G241" s="152"/>
      <c r="H241" s="141"/>
      <c r="I241" s="152"/>
      <c r="J241" s="141"/>
      <c r="K241" s="218"/>
      <c r="L241" s="141"/>
      <c r="M241" s="218"/>
      <c r="N241" s="141"/>
      <c r="O241" s="141"/>
      <c r="P241" s="141"/>
      <c r="Q241" s="141"/>
      <c r="R241" s="141"/>
      <c r="S241" s="141"/>
      <c r="T241" s="141"/>
      <c r="U241" s="141"/>
      <c r="V241" s="142"/>
    </row>
    <row r="242" spans="2:22" x14ac:dyDescent="0.2">
      <c r="B242" s="214" t="s">
        <v>364</v>
      </c>
      <c r="C242" s="152">
        <v>80</v>
      </c>
      <c r="D242" s="215">
        <v>5717000</v>
      </c>
      <c r="E242" s="216">
        <v>0.09</v>
      </c>
      <c r="F242" s="215">
        <f t="shared" si="185"/>
        <v>6232000</v>
      </c>
      <c r="G242" s="216">
        <v>0.02</v>
      </c>
      <c r="H242" s="193">
        <f t="shared" ref="H242:H243" si="195">+(F242*G242)+F242</f>
        <v>6356640</v>
      </c>
      <c r="I242" s="216">
        <v>2.5000000000000001E-2</v>
      </c>
      <c r="J242" s="193">
        <f>+(F242*I242)+F242</f>
        <v>6387800</v>
      </c>
      <c r="K242" s="195">
        <f t="shared" si="189"/>
        <v>17.790041720154044</v>
      </c>
      <c r="L242" s="199">
        <v>110867540</v>
      </c>
      <c r="M242" s="195">
        <f t="shared" ref="M242:M243" si="196">+N242/F242</f>
        <v>18.838104942233635</v>
      </c>
      <c r="N242" s="199">
        <v>117399070</v>
      </c>
      <c r="O242" s="199">
        <f t="shared" ref="O242:O243" si="197">L242+N242</f>
        <v>228266610</v>
      </c>
      <c r="P242" s="141">
        <f t="shared" si="180"/>
        <v>101713339.44954127</v>
      </c>
      <c r="Q242" s="141">
        <f t="shared" si="175"/>
        <v>107816139.81651375</v>
      </c>
      <c r="R242" s="141">
        <f t="shared" si="176"/>
        <v>3051400.183486253</v>
      </c>
      <c r="S242" s="141">
        <f t="shared" si="177"/>
        <v>107705568.80733944</v>
      </c>
      <c r="T242" s="141">
        <f t="shared" si="181"/>
        <v>114167902.93577981</v>
      </c>
      <c r="U242" s="141">
        <f t="shared" si="178"/>
        <v>3231167.06422019</v>
      </c>
      <c r="V242" s="142">
        <f t="shared" si="179"/>
        <v>6282567.2477064431</v>
      </c>
    </row>
    <row r="243" spans="2:22" x14ac:dyDescent="0.2">
      <c r="B243" s="214" t="s">
        <v>365</v>
      </c>
      <c r="C243" s="152">
        <v>68</v>
      </c>
      <c r="D243" s="215">
        <v>5832000</v>
      </c>
      <c r="E243" s="216">
        <v>0.09</v>
      </c>
      <c r="F243" s="215">
        <f t="shared" si="185"/>
        <v>6357000</v>
      </c>
      <c r="G243" s="219">
        <v>0.01</v>
      </c>
      <c r="H243" s="193">
        <f t="shared" si="195"/>
        <v>6420570</v>
      </c>
      <c r="I243" s="152"/>
      <c r="J243" s="141"/>
      <c r="K243" s="195">
        <f t="shared" si="189"/>
        <v>5.7998905143935833</v>
      </c>
      <c r="L243" s="199">
        <v>36869904.000000007</v>
      </c>
      <c r="M243" s="195">
        <f t="shared" si="196"/>
        <v>6.5594085260342938</v>
      </c>
      <c r="N243" s="199">
        <v>41698160.000000007</v>
      </c>
      <c r="O243" s="199">
        <f t="shared" si="197"/>
        <v>78568064.000000015</v>
      </c>
      <c r="P243" s="141">
        <f t="shared" si="180"/>
        <v>33825600.000000007</v>
      </c>
      <c r="Q243" s="141">
        <f t="shared" si="175"/>
        <v>35855136.000000007</v>
      </c>
      <c r="R243" s="141">
        <f t="shared" si="176"/>
        <v>1014768</v>
      </c>
      <c r="S243" s="141">
        <f t="shared" si="177"/>
        <v>38255192.66055046</v>
      </c>
      <c r="T243" s="141">
        <f t="shared" si="181"/>
        <v>40550504.220183484</v>
      </c>
      <c r="U243" s="141">
        <f t="shared" si="178"/>
        <v>1147655.7798165232</v>
      </c>
      <c r="V243" s="142">
        <f t="shared" si="179"/>
        <v>2162423.7798165232</v>
      </c>
    </row>
    <row r="244" spans="2:22" x14ac:dyDescent="0.2">
      <c r="B244" s="217" t="s">
        <v>546</v>
      </c>
      <c r="C244" s="152"/>
      <c r="D244" s="215"/>
      <c r="E244" s="216"/>
      <c r="F244" s="215"/>
      <c r="G244" s="152"/>
      <c r="H244" s="141"/>
      <c r="I244" s="152"/>
      <c r="J244" s="141"/>
      <c r="K244" s="218"/>
      <c r="L244" s="141"/>
      <c r="M244" s="218"/>
      <c r="N244" s="141"/>
      <c r="O244" s="141"/>
      <c r="P244" s="141"/>
      <c r="Q244" s="141"/>
      <c r="R244" s="141"/>
      <c r="S244" s="141"/>
      <c r="T244" s="141"/>
      <c r="U244" s="141"/>
      <c r="V244" s="142"/>
    </row>
    <row r="245" spans="2:22" x14ac:dyDescent="0.2">
      <c r="B245" s="214" t="s">
        <v>500</v>
      </c>
      <c r="C245" s="152">
        <v>26</v>
      </c>
      <c r="D245" s="215">
        <v>8966000</v>
      </c>
      <c r="E245" s="216">
        <v>0.09</v>
      </c>
      <c r="F245" s="215">
        <f t="shared" ref="F245:F254" si="198">+ROUND((D245*E245)+D245,-3)</f>
        <v>9773000</v>
      </c>
      <c r="G245" s="216">
        <v>0.02</v>
      </c>
      <c r="H245" s="193">
        <f t="shared" ref="H245:H254" si="199">+(F245*G245)+F245</f>
        <v>9968460</v>
      </c>
      <c r="I245" s="152"/>
      <c r="J245" s="141"/>
      <c r="K245" s="195">
        <f t="shared" si="189"/>
        <v>65.999596848460044</v>
      </c>
      <c r="L245" s="199">
        <v>645014060</v>
      </c>
      <c r="M245" s="195">
        <f t="shared" ref="M245" si="200">+N245/F245</f>
        <v>64.799607080732628</v>
      </c>
      <c r="N245" s="199">
        <v>633286560</v>
      </c>
      <c r="O245" s="199">
        <f t="shared" ref="O245" si="201">L245+N245</f>
        <v>1278300620</v>
      </c>
      <c r="P245" s="141">
        <f t="shared" si="180"/>
        <v>591756018.34862375</v>
      </c>
      <c r="Q245" s="141">
        <f t="shared" si="175"/>
        <v>627261379.44954121</v>
      </c>
      <c r="R245" s="141">
        <f t="shared" si="176"/>
        <v>17752680.550458789</v>
      </c>
      <c r="S245" s="141">
        <f t="shared" si="177"/>
        <v>580996844.03669715</v>
      </c>
      <c r="T245" s="141">
        <f t="shared" si="181"/>
        <v>615856654.67889893</v>
      </c>
      <c r="U245" s="141">
        <f t="shared" si="178"/>
        <v>17429905.321101069</v>
      </c>
      <c r="V245" s="142">
        <f t="shared" si="179"/>
        <v>35182585.871559858</v>
      </c>
    </row>
    <row r="246" spans="2:22" x14ac:dyDescent="0.2">
      <c r="B246" s="214" t="s">
        <v>501</v>
      </c>
      <c r="C246" s="152">
        <v>26</v>
      </c>
      <c r="D246" s="215">
        <v>8924000</v>
      </c>
      <c r="E246" s="216">
        <v>0.09</v>
      </c>
      <c r="F246" s="215">
        <f t="shared" si="198"/>
        <v>9727000</v>
      </c>
      <c r="G246" s="216">
        <v>0.02</v>
      </c>
      <c r="H246" s="193">
        <f t="shared" si="199"/>
        <v>9921540</v>
      </c>
      <c r="I246" s="152"/>
      <c r="J246" s="141"/>
      <c r="K246" s="195">
        <f t="shared" si="189"/>
        <v>0</v>
      </c>
      <c r="L246" s="141"/>
      <c r="M246" s="218"/>
      <c r="N246" s="141"/>
      <c r="O246" s="141"/>
      <c r="P246" s="141"/>
      <c r="Q246" s="141"/>
      <c r="R246" s="141"/>
      <c r="S246" s="141"/>
      <c r="T246" s="141"/>
      <c r="U246" s="141"/>
      <c r="V246" s="142"/>
    </row>
    <row r="247" spans="2:22" x14ac:dyDescent="0.2">
      <c r="B247" s="214" t="s">
        <v>502</v>
      </c>
      <c r="C247" s="152">
        <v>25</v>
      </c>
      <c r="D247" s="215">
        <v>8966000</v>
      </c>
      <c r="E247" s="216">
        <v>0.09</v>
      </c>
      <c r="F247" s="215">
        <f t="shared" si="198"/>
        <v>9773000</v>
      </c>
      <c r="G247" s="216">
        <v>0.02</v>
      </c>
      <c r="H247" s="193">
        <f t="shared" si="199"/>
        <v>9968460</v>
      </c>
      <c r="I247" s="152"/>
      <c r="J247" s="141"/>
      <c r="K247" s="195">
        <f t="shared" si="189"/>
        <v>19.199883761383404</v>
      </c>
      <c r="L247" s="199">
        <v>187640464</v>
      </c>
      <c r="M247" s="195">
        <f t="shared" ref="M247:M254" si="202">+N247/F247</f>
        <v>19.899878235956205</v>
      </c>
      <c r="N247" s="199">
        <v>194481510</v>
      </c>
      <c r="O247" s="199">
        <f t="shared" ref="O247:O254" si="203">L247+N247</f>
        <v>382121974</v>
      </c>
      <c r="P247" s="141">
        <f t="shared" si="180"/>
        <v>172147214.67889908</v>
      </c>
      <c r="Q247" s="141">
        <f t="shared" si="175"/>
        <v>182476047.55963302</v>
      </c>
      <c r="R247" s="141">
        <f t="shared" si="176"/>
        <v>5164416.4403669834</v>
      </c>
      <c r="S247" s="141">
        <f t="shared" si="177"/>
        <v>178423403.66972476</v>
      </c>
      <c r="T247" s="141">
        <f t="shared" si="181"/>
        <v>189128807.88990825</v>
      </c>
      <c r="U247" s="141">
        <f t="shared" si="178"/>
        <v>5352702.1100917459</v>
      </c>
      <c r="V247" s="142">
        <f t="shared" si="179"/>
        <v>10517118.550458729</v>
      </c>
    </row>
    <row r="248" spans="2:22" x14ac:dyDescent="0.2">
      <c r="B248" s="214" t="s">
        <v>367</v>
      </c>
      <c r="C248" s="152">
        <v>24</v>
      </c>
      <c r="D248" s="215">
        <v>8966000</v>
      </c>
      <c r="E248" s="216">
        <v>0.09</v>
      </c>
      <c r="F248" s="215">
        <f t="shared" si="198"/>
        <v>9773000</v>
      </c>
      <c r="G248" s="216">
        <v>0.02</v>
      </c>
      <c r="H248" s="193">
        <f t="shared" si="199"/>
        <v>9968460</v>
      </c>
      <c r="I248" s="152"/>
      <c r="J248" s="141"/>
      <c r="K248" s="195">
        <f t="shared" si="189"/>
        <v>23.249782257239332</v>
      </c>
      <c r="L248" s="199">
        <v>227220122</v>
      </c>
      <c r="M248" s="195">
        <f t="shared" si="202"/>
        <v>28.149830655888675</v>
      </c>
      <c r="N248" s="199">
        <v>275108295</v>
      </c>
      <c r="O248" s="199">
        <f t="shared" si="203"/>
        <v>502328417</v>
      </c>
      <c r="P248" s="141">
        <f t="shared" si="180"/>
        <v>208458827.52293578</v>
      </c>
      <c r="Q248" s="141">
        <f t="shared" si="175"/>
        <v>220966357.17431194</v>
      </c>
      <c r="R248" s="141">
        <f t="shared" si="176"/>
        <v>6253764.8256880641</v>
      </c>
      <c r="S248" s="141">
        <f t="shared" si="177"/>
        <v>252392931.19266054</v>
      </c>
      <c r="T248" s="141">
        <f t="shared" si="181"/>
        <v>267536507.06422016</v>
      </c>
      <c r="U248" s="141">
        <f t="shared" si="178"/>
        <v>7571787.9357798398</v>
      </c>
      <c r="V248" s="142">
        <f t="shared" si="179"/>
        <v>13825552.761467904</v>
      </c>
    </row>
    <row r="249" spans="2:22" x14ac:dyDescent="0.2">
      <c r="B249" s="214" t="s">
        <v>369</v>
      </c>
      <c r="C249" s="152">
        <v>40</v>
      </c>
      <c r="D249" s="215">
        <v>9642000</v>
      </c>
      <c r="E249" s="216">
        <v>0.09</v>
      </c>
      <c r="F249" s="215">
        <f t="shared" si="198"/>
        <v>10510000</v>
      </c>
      <c r="G249" s="216">
        <v>0.02</v>
      </c>
      <c r="H249" s="193">
        <f t="shared" si="199"/>
        <v>10720200</v>
      </c>
      <c r="I249" s="152"/>
      <c r="J249" s="141"/>
      <c r="K249" s="195">
        <f t="shared" si="189"/>
        <v>59.94784776403425</v>
      </c>
      <c r="L249" s="199">
        <v>630051880</v>
      </c>
      <c r="M249" s="195">
        <f t="shared" si="202"/>
        <v>63.169249286393914</v>
      </c>
      <c r="N249" s="199">
        <v>663908810</v>
      </c>
      <c r="O249" s="199">
        <f t="shared" si="203"/>
        <v>1293960690</v>
      </c>
      <c r="P249" s="141">
        <f t="shared" si="180"/>
        <v>578029247.70642197</v>
      </c>
      <c r="Q249" s="141">
        <f t="shared" si="175"/>
        <v>612711002.56880724</v>
      </c>
      <c r="R249" s="141">
        <f t="shared" si="176"/>
        <v>17340877.431192756</v>
      </c>
      <c r="S249" s="141">
        <f t="shared" si="177"/>
        <v>609090651.37614679</v>
      </c>
      <c r="T249" s="141">
        <f t="shared" si="181"/>
        <v>645636090.45871556</v>
      </c>
      <c r="U249" s="141">
        <f t="shared" si="178"/>
        <v>18272719.541284442</v>
      </c>
      <c r="V249" s="142">
        <f t="shared" si="179"/>
        <v>35613596.972477198</v>
      </c>
    </row>
    <row r="250" spans="2:22" x14ac:dyDescent="0.2">
      <c r="B250" s="214" t="s">
        <v>368</v>
      </c>
      <c r="C250" s="152">
        <v>42</v>
      </c>
      <c r="D250" s="215">
        <v>9642000</v>
      </c>
      <c r="E250" s="216">
        <v>0.09</v>
      </c>
      <c r="F250" s="215">
        <f t="shared" si="198"/>
        <v>10510000</v>
      </c>
      <c r="G250" s="216">
        <v>0.02</v>
      </c>
      <c r="H250" s="193">
        <f t="shared" si="199"/>
        <v>10720200</v>
      </c>
      <c r="I250" s="152"/>
      <c r="J250" s="141"/>
      <c r="K250" s="195">
        <f t="shared" si="189"/>
        <v>2.3499681255946716</v>
      </c>
      <c r="L250" s="199">
        <v>24698165</v>
      </c>
      <c r="M250" s="195">
        <f t="shared" si="202"/>
        <v>7.7498977164605138</v>
      </c>
      <c r="N250" s="199">
        <v>81451425</v>
      </c>
      <c r="O250" s="199">
        <f t="shared" si="203"/>
        <v>106149590</v>
      </c>
      <c r="P250" s="141">
        <f t="shared" si="180"/>
        <v>22658866.972477064</v>
      </c>
      <c r="Q250" s="141">
        <f t="shared" si="175"/>
        <v>24018398.990825687</v>
      </c>
      <c r="R250" s="141">
        <f t="shared" si="176"/>
        <v>679766.0091743134</v>
      </c>
      <c r="S250" s="141">
        <f t="shared" si="177"/>
        <v>74726077.981651366</v>
      </c>
      <c r="T250" s="141">
        <f t="shared" si="181"/>
        <v>79209642.660550445</v>
      </c>
      <c r="U250" s="141">
        <f t="shared" si="178"/>
        <v>2241782.3394495547</v>
      </c>
      <c r="V250" s="142">
        <f t="shared" si="179"/>
        <v>2921548.3486238681</v>
      </c>
    </row>
    <row r="251" spans="2:22" x14ac:dyDescent="0.2">
      <c r="B251" s="214" t="s">
        <v>503</v>
      </c>
      <c r="C251" s="152">
        <v>40</v>
      </c>
      <c r="D251" s="215">
        <v>9642000</v>
      </c>
      <c r="E251" s="216">
        <v>0.09</v>
      </c>
      <c r="F251" s="215">
        <f t="shared" si="198"/>
        <v>10510000</v>
      </c>
      <c r="G251" s="216">
        <v>0.02</v>
      </c>
      <c r="H251" s="193">
        <f t="shared" si="199"/>
        <v>10720200</v>
      </c>
      <c r="I251" s="152"/>
      <c r="J251" s="141"/>
      <c r="K251" s="195">
        <f t="shared" si="189"/>
        <v>21.879571836346337</v>
      </c>
      <c r="L251" s="199">
        <v>229954300</v>
      </c>
      <c r="M251" s="195">
        <f t="shared" si="202"/>
        <v>21.03958515699334</v>
      </c>
      <c r="N251" s="199">
        <v>221126040</v>
      </c>
      <c r="O251" s="199">
        <f t="shared" si="203"/>
        <v>451080340</v>
      </c>
      <c r="P251" s="141">
        <f t="shared" si="180"/>
        <v>210967247.706422</v>
      </c>
      <c r="Q251" s="141">
        <f t="shared" ref="Q251:Q259" si="204">(P251*$Q$11)+P251</f>
        <v>223625282.56880733</v>
      </c>
      <c r="R251" s="141">
        <f t="shared" ref="R251:R261" si="205">L251-Q251</f>
        <v>6329017.4311926663</v>
      </c>
      <c r="S251" s="141">
        <f t="shared" ref="S251:S261" si="206">N251/(1+E251)</f>
        <v>202867926.60550457</v>
      </c>
      <c r="T251" s="141">
        <f t="shared" si="181"/>
        <v>215040002.20183486</v>
      </c>
      <c r="U251" s="141">
        <f t="shared" ref="U251:U259" si="207">N251-T251</f>
        <v>6086037.7981651425</v>
      </c>
      <c r="V251" s="142">
        <f t="shared" ref="V251:V261" si="208">R251+U251</f>
        <v>12415055.229357809</v>
      </c>
    </row>
    <row r="252" spans="2:22" x14ac:dyDescent="0.2">
      <c r="B252" s="214" t="s">
        <v>504</v>
      </c>
      <c r="C252" s="152">
        <v>56</v>
      </c>
      <c r="D252" s="215">
        <v>9642000</v>
      </c>
      <c r="E252" s="216">
        <v>0.09</v>
      </c>
      <c r="F252" s="215">
        <f t="shared" si="198"/>
        <v>10510000</v>
      </c>
      <c r="G252" s="216">
        <v>0.02</v>
      </c>
      <c r="H252" s="193">
        <f t="shared" si="199"/>
        <v>10720200</v>
      </c>
      <c r="I252" s="152"/>
      <c r="J252" s="141"/>
      <c r="K252" s="195">
        <f t="shared" si="189"/>
        <v>36.999225499524265</v>
      </c>
      <c r="L252" s="199">
        <v>388861860</v>
      </c>
      <c r="M252" s="195">
        <f t="shared" si="202"/>
        <v>74.298463368220737</v>
      </c>
      <c r="N252" s="199">
        <v>780876850</v>
      </c>
      <c r="O252" s="199">
        <f t="shared" si="203"/>
        <v>1169738710</v>
      </c>
      <c r="P252" s="141">
        <f t="shared" ref="P252:P259" si="209">L252/(1+E252)</f>
        <v>356754000</v>
      </c>
      <c r="Q252" s="141">
        <f t="shared" si="204"/>
        <v>378159240</v>
      </c>
      <c r="R252" s="141">
        <f t="shared" si="205"/>
        <v>10702620</v>
      </c>
      <c r="S252" s="141">
        <f t="shared" si="206"/>
        <v>716400779.81651366</v>
      </c>
      <c r="T252" s="141">
        <f t="shared" ref="T252:T261" si="210">(S252*$T$11)+S252</f>
        <v>759384826.60550451</v>
      </c>
      <c r="U252" s="141">
        <f t="shared" si="207"/>
        <v>21492023.394495487</v>
      </c>
      <c r="V252" s="142">
        <f t="shared" si="208"/>
        <v>32194643.394495487</v>
      </c>
    </row>
    <row r="253" spans="2:22" x14ac:dyDescent="0.2">
      <c r="B253" s="214" t="s">
        <v>366</v>
      </c>
      <c r="C253" s="152">
        <v>62</v>
      </c>
      <c r="D253" s="215">
        <v>9642000</v>
      </c>
      <c r="E253" s="216">
        <v>0.09</v>
      </c>
      <c r="F253" s="215">
        <f t="shared" si="198"/>
        <v>10510000</v>
      </c>
      <c r="G253" s="216">
        <v>0.02</v>
      </c>
      <c r="H253" s="193">
        <f t="shared" si="199"/>
        <v>10720200</v>
      </c>
      <c r="I253" s="216">
        <v>2.5000000000000001E-2</v>
      </c>
      <c r="J253" s="193">
        <f>+(F253*I253)+F253</f>
        <v>10772750</v>
      </c>
      <c r="K253" s="195">
        <f t="shared" si="189"/>
        <v>25.939511893434823</v>
      </c>
      <c r="L253" s="199">
        <v>272624270</v>
      </c>
      <c r="M253" s="195">
        <f t="shared" si="202"/>
        <v>26.576647288296861</v>
      </c>
      <c r="N253" s="199">
        <v>279320563</v>
      </c>
      <c r="O253" s="199">
        <f t="shared" si="203"/>
        <v>551944833</v>
      </c>
      <c r="P253" s="141">
        <f t="shared" si="209"/>
        <v>250114009.17431191</v>
      </c>
      <c r="Q253" s="141">
        <f t="shared" si="204"/>
        <v>265120849.72477061</v>
      </c>
      <c r="R253" s="141">
        <f t="shared" si="205"/>
        <v>7503420.2752293944</v>
      </c>
      <c r="S253" s="141">
        <f t="shared" si="206"/>
        <v>256257397.24770641</v>
      </c>
      <c r="T253" s="141">
        <f t="shared" si="210"/>
        <v>271632841.08256882</v>
      </c>
      <c r="U253" s="141">
        <f t="shared" si="207"/>
        <v>7687721.9174311757</v>
      </c>
      <c r="V253" s="142">
        <f t="shared" si="208"/>
        <v>15191142.19266057</v>
      </c>
    </row>
    <row r="254" spans="2:22" x14ac:dyDescent="0.2">
      <c r="B254" s="214" t="s">
        <v>505</v>
      </c>
      <c r="C254" s="152">
        <v>47</v>
      </c>
      <c r="D254" s="215">
        <v>9642000</v>
      </c>
      <c r="E254" s="216">
        <v>0.09</v>
      </c>
      <c r="F254" s="215">
        <f t="shared" si="198"/>
        <v>10510000</v>
      </c>
      <c r="G254" s="216">
        <v>0.02</v>
      </c>
      <c r="H254" s="193">
        <f t="shared" si="199"/>
        <v>10720200</v>
      </c>
      <c r="I254" s="152"/>
      <c r="J254" s="141"/>
      <c r="K254" s="195">
        <f t="shared" si="189"/>
        <v>30.489428639391058</v>
      </c>
      <c r="L254" s="199">
        <v>320443895</v>
      </c>
      <c r="M254" s="195">
        <f t="shared" si="202"/>
        <v>26.111246146527115</v>
      </c>
      <c r="N254" s="199">
        <v>274429197</v>
      </c>
      <c r="O254" s="199">
        <f t="shared" si="203"/>
        <v>594873092</v>
      </c>
      <c r="P254" s="141">
        <f t="shared" si="209"/>
        <v>293985224.77064216</v>
      </c>
      <c r="Q254" s="141">
        <f t="shared" si="204"/>
        <v>311624338.2568807</v>
      </c>
      <c r="R254" s="141">
        <f t="shared" si="205"/>
        <v>8819556.7431192994</v>
      </c>
      <c r="S254" s="141">
        <f t="shared" si="206"/>
        <v>251769905.50458714</v>
      </c>
      <c r="T254" s="141">
        <f t="shared" si="210"/>
        <v>266876099.83486238</v>
      </c>
      <c r="U254" s="141">
        <f t="shared" si="207"/>
        <v>7553097.1651376188</v>
      </c>
      <c r="V254" s="142">
        <f t="shared" si="208"/>
        <v>16372653.908256918</v>
      </c>
    </row>
    <row r="255" spans="2:22" x14ac:dyDescent="0.2">
      <c r="B255" s="217" t="s">
        <v>538</v>
      </c>
      <c r="C255" s="152"/>
      <c r="D255" s="215"/>
      <c r="E255" s="216"/>
      <c r="F255" s="215"/>
      <c r="G255" s="152"/>
      <c r="H255" s="141"/>
      <c r="I255" s="152"/>
      <c r="J255" s="141"/>
      <c r="K255" s="218"/>
      <c r="L255" s="141"/>
      <c r="M255" s="218"/>
      <c r="N255" s="141"/>
      <c r="O255" s="141"/>
      <c r="P255" s="141"/>
      <c r="Q255" s="141"/>
      <c r="R255" s="141"/>
      <c r="S255" s="141"/>
      <c r="T255" s="141"/>
      <c r="U255" s="141"/>
      <c r="V255" s="142"/>
    </row>
    <row r="256" spans="2:22" x14ac:dyDescent="0.2">
      <c r="B256" s="214" t="s">
        <v>370</v>
      </c>
      <c r="C256" s="152">
        <v>50</v>
      </c>
      <c r="D256" s="215">
        <v>7318000</v>
      </c>
      <c r="E256" s="216">
        <v>0</v>
      </c>
      <c r="F256" s="215">
        <f t="shared" si="185"/>
        <v>7318000</v>
      </c>
      <c r="G256" s="216">
        <v>0.02</v>
      </c>
      <c r="H256" s="193">
        <f t="shared" ref="H256:H257" si="211">+(F256*G256)+F256</f>
        <v>7464360</v>
      </c>
      <c r="I256" s="216">
        <v>2.5000000000000001E-2</v>
      </c>
      <c r="J256" s="193">
        <f>+(F256*I256)+F256</f>
        <v>7500950</v>
      </c>
      <c r="K256" s="195">
        <f t="shared" si="189"/>
        <v>6.8</v>
      </c>
      <c r="L256" s="199">
        <v>49762400</v>
      </c>
      <c r="M256" s="195">
        <f t="shared" ref="M256:M257" si="212">+N256/F256</f>
        <v>7.9729844219732167</v>
      </c>
      <c r="N256" s="199">
        <v>58346300</v>
      </c>
      <c r="O256" s="199">
        <f t="shared" ref="O256:O257" si="213">L256+N256</f>
        <v>108108700</v>
      </c>
      <c r="P256" s="141">
        <f t="shared" si="209"/>
        <v>49762400</v>
      </c>
      <c r="Q256" s="141">
        <f t="shared" si="204"/>
        <v>52748144</v>
      </c>
      <c r="R256" s="141">
        <f t="shared" si="205"/>
        <v>-2985744</v>
      </c>
      <c r="S256" s="141">
        <f t="shared" si="206"/>
        <v>58346300</v>
      </c>
      <c r="T256" s="141">
        <f t="shared" si="210"/>
        <v>61847078</v>
      </c>
      <c r="U256" s="141">
        <f t="shared" si="207"/>
        <v>-3500778</v>
      </c>
      <c r="V256" s="142">
        <f t="shared" si="208"/>
        <v>-6486522</v>
      </c>
    </row>
    <row r="257" spans="2:22" x14ac:dyDescent="0.2">
      <c r="B257" s="214" t="s">
        <v>371</v>
      </c>
      <c r="C257" s="152">
        <v>116</v>
      </c>
      <c r="D257" s="215">
        <v>8945000</v>
      </c>
      <c r="E257" s="216">
        <v>0</v>
      </c>
      <c r="F257" s="215">
        <f t="shared" si="185"/>
        <v>8945000</v>
      </c>
      <c r="G257" s="219">
        <v>0.01</v>
      </c>
      <c r="H257" s="193">
        <f t="shared" si="211"/>
        <v>9034450</v>
      </c>
      <c r="I257" s="152"/>
      <c r="J257" s="141"/>
      <c r="K257" s="195">
        <f t="shared" si="189"/>
        <v>9.7820011179429844</v>
      </c>
      <c r="L257" s="199">
        <v>87500000</v>
      </c>
      <c r="M257" s="195">
        <f t="shared" si="212"/>
        <v>5.7820011179429853</v>
      </c>
      <c r="N257" s="199">
        <v>51720000</v>
      </c>
      <c r="O257" s="199">
        <f t="shared" si="213"/>
        <v>139220000</v>
      </c>
      <c r="P257" s="141">
        <f t="shared" si="209"/>
        <v>87500000</v>
      </c>
      <c r="Q257" s="141">
        <f t="shared" si="204"/>
        <v>92750000</v>
      </c>
      <c r="R257" s="141">
        <f t="shared" si="205"/>
        <v>-5250000</v>
      </c>
      <c r="S257" s="141">
        <f t="shared" si="206"/>
        <v>51720000</v>
      </c>
      <c r="T257" s="141">
        <f t="shared" si="210"/>
        <v>54823200</v>
      </c>
      <c r="U257" s="141">
        <f t="shared" si="207"/>
        <v>-3103200</v>
      </c>
      <c r="V257" s="142">
        <f t="shared" si="208"/>
        <v>-8353200</v>
      </c>
    </row>
    <row r="258" spans="2:22" x14ac:dyDescent="0.2">
      <c r="B258" s="217" t="s">
        <v>247</v>
      </c>
      <c r="C258" s="152"/>
      <c r="D258" s="215"/>
      <c r="E258" s="216"/>
      <c r="F258" s="215"/>
      <c r="G258" s="152"/>
      <c r="H258" s="141"/>
      <c r="I258" s="152"/>
      <c r="J258" s="141"/>
      <c r="K258" s="218"/>
      <c r="L258" s="141"/>
      <c r="M258" s="218"/>
      <c r="N258" s="141"/>
      <c r="O258" s="141"/>
      <c r="P258" s="141"/>
      <c r="Q258" s="141"/>
      <c r="R258" s="141"/>
      <c r="S258" s="141"/>
      <c r="T258" s="141"/>
      <c r="U258" s="141"/>
      <c r="V258" s="142"/>
    </row>
    <row r="259" spans="2:22" x14ac:dyDescent="0.2">
      <c r="B259" s="214" t="s">
        <v>372</v>
      </c>
      <c r="C259" s="152">
        <v>41</v>
      </c>
      <c r="D259" s="215">
        <v>6965000</v>
      </c>
      <c r="E259" s="216">
        <v>0.09</v>
      </c>
      <c r="F259" s="215">
        <f t="shared" si="185"/>
        <v>7592000</v>
      </c>
      <c r="G259" s="216">
        <v>0.02</v>
      </c>
      <c r="H259" s="193">
        <f>+(F259*G259)+F259</f>
        <v>7743840</v>
      </c>
      <c r="I259" s="216">
        <v>2.5000000000000001E-2</v>
      </c>
      <c r="J259" s="193">
        <f>+(F259*I259)+F259</f>
        <v>7781800</v>
      </c>
      <c r="K259" s="195">
        <f t="shared" si="189"/>
        <v>443.79112881981041</v>
      </c>
      <c r="L259" s="199">
        <v>3369262250.0000005</v>
      </c>
      <c r="M259" s="195">
        <f t="shared" ref="M259:M261" si="214">+N259/F259</f>
        <v>366.2926699157008</v>
      </c>
      <c r="N259" s="199">
        <v>2780893950.0000005</v>
      </c>
      <c r="O259" s="199">
        <f t="shared" ref="O259" si="215">L259+N259</f>
        <v>6150156200.000001</v>
      </c>
      <c r="P259" s="141">
        <f t="shared" si="209"/>
        <v>3091066284.4036698</v>
      </c>
      <c r="Q259" s="141">
        <f t="shared" si="204"/>
        <v>3276530261.4678898</v>
      </c>
      <c r="R259" s="141">
        <f t="shared" si="205"/>
        <v>92731988.532110691</v>
      </c>
      <c r="S259" s="141">
        <f t="shared" si="206"/>
        <v>2551278853.2110095</v>
      </c>
      <c r="T259" s="141">
        <f t="shared" si="210"/>
        <v>2704355584.4036703</v>
      </c>
      <c r="U259" s="141">
        <f t="shared" si="207"/>
        <v>76538365.596330166</v>
      </c>
      <c r="V259" s="142">
        <f t="shared" si="208"/>
        <v>169270354.12844086</v>
      </c>
    </row>
    <row r="260" spans="2:22" x14ac:dyDescent="0.2">
      <c r="B260" s="217" t="s">
        <v>506</v>
      </c>
      <c r="C260" s="152"/>
      <c r="D260" s="215"/>
      <c r="E260" s="224"/>
      <c r="F260" s="215"/>
      <c r="G260" s="152"/>
      <c r="H260" s="141"/>
      <c r="I260" s="152"/>
      <c r="J260" s="141"/>
      <c r="K260" s="218"/>
      <c r="L260" s="141"/>
      <c r="M260" s="218"/>
      <c r="N260" s="141"/>
      <c r="O260" s="141"/>
      <c r="P260" s="141"/>
      <c r="Q260" s="141"/>
      <c r="R260" s="141"/>
      <c r="S260" s="141"/>
      <c r="T260" s="141"/>
      <c r="U260" s="141"/>
      <c r="V260" s="142"/>
    </row>
    <row r="261" spans="2:22" ht="12" thickBot="1" x14ac:dyDescent="0.25">
      <c r="B261" s="225" t="s">
        <v>507</v>
      </c>
      <c r="C261" s="153">
        <v>60</v>
      </c>
      <c r="D261" s="226"/>
      <c r="E261" s="227"/>
      <c r="F261" s="226">
        <v>11290220</v>
      </c>
      <c r="G261" s="153"/>
      <c r="H261" s="154"/>
      <c r="I261" s="153"/>
      <c r="J261" s="154"/>
      <c r="K261" s="228">
        <f t="shared" si="189"/>
        <v>18</v>
      </c>
      <c r="L261" s="229">
        <v>203223960</v>
      </c>
      <c r="M261" s="228">
        <f t="shared" si="214"/>
        <v>18</v>
      </c>
      <c r="N261" s="229">
        <v>203223960</v>
      </c>
      <c r="O261" s="229">
        <f t="shared" ref="O261" si="216">L261+N261</f>
        <v>406447920</v>
      </c>
      <c r="P261" s="154">
        <f>L261/(1+E261)</f>
        <v>203223960</v>
      </c>
      <c r="Q261" s="154">
        <f>(P261*$Q$11)+P261</f>
        <v>215417397.59999999</v>
      </c>
      <c r="R261" s="154">
        <f t="shared" si="205"/>
        <v>-12193437.599999994</v>
      </c>
      <c r="S261" s="154">
        <f t="shared" si="206"/>
        <v>203223960</v>
      </c>
      <c r="T261" s="154">
        <f t="shared" si="210"/>
        <v>215417397.59999999</v>
      </c>
      <c r="U261" s="154">
        <f>N261-T261</f>
        <v>-12193437.599999994</v>
      </c>
      <c r="V261" s="155">
        <f t="shared" si="208"/>
        <v>-24386875.199999988</v>
      </c>
    </row>
    <row r="262" spans="2:22" ht="12" thickBot="1" x14ac:dyDescent="0.25">
      <c r="B262" s="231" t="s">
        <v>547</v>
      </c>
      <c r="C262" s="156"/>
      <c r="D262" s="157"/>
      <c r="E262" s="158"/>
      <c r="F262" s="159">
        <f>SUM(F83:F261)</f>
        <v>1743495220</v>
      </c>
      <c r="G262" s="160"/>
      <c r="H262" s="161"/>
      <c r="I262" s="156"/>
      <c r="J262" s="156"/>
      <c r="K262" s="162">
        <f>SUM(K83:K261)</f>
        <v>4043.1128821870125</v>
      </c>
      <c r="L262" s="163">
        <f>SUM(L83:L261)</f>
        <v>41321497982.860001</v>
      </c>
      <c r="M262" s="162">
        <f>SUM(M83:M261)</f>
        <v>4414.2630098646705</v>
      </c>
      <c r="N262" s="163">
        <f>SUM(N83:N261)</f>
        <v>45020362488.620003</v>
      </c>
      <c r="O262" s="163">
        <f t="shared" ref="O262:U262" si="217">SUM(O83:O261)</f>
        <v>86341860471.480011</v>
      </c>
      <c r="P262" s="163">
        <f t="shared" si="217"/>
        <v>38149081267.487946</v>
      </c>
      <c r="Q262" s="163">
        <f t="shared" si="217"/>
        <v>40438026143.537231</v>
      </c>
      <c r="R262" s="163">
        <f t="shared" si="217"/>
        <v>883471839.32277095</v>
      </c>
      <c r="S262" s="163">
        <f t="shared" si="217"/>
        <v>41557784573.588875</v>
      </c>
      <c r="T262" s="163">
        <f t="shared" si="217"/>
        <v>44051251648.004204</v>
      </c>
      <c r="U262" s="163">
        <f t="shared" si="217"/>
        <v>969110840.61579514</v>
      </c>
      <c r="V262" s="164">
        <f>SUM(V83:V261)</f>
        <v>1852582679.9385667</v>
      </c>
    </row>
    <row r="263" spans="2:22" ht="12" thickBot="1" x14ac:dyDescent="0.25">
      <c r="B263" s="230" t="s">
        <v>548</v>
      </c>
      <c r="C263" s="243"/>
      <c r="D263" s="166"/>
      <c r="E263" s="167"/>
      <c r="F263" s="244">
        <f>SUMPRODUCT(F83:F261,E83:E261)/F262</f>
        <v>8.0038731049689948E-2</v>
      </c>
      <c r="G263" s="169"/>
      <c r="H263" s="170"/>
      <c r="I263" s="165"/>
      <c r="J263" s="165"/>
      <c r="K263" s="245"/>
      <c r="L263" s="246"/>
      <c r="M263" s="245"/>
      <c r="N263" s="246"/>
      <c r="O263" s="171">
        <f>SUMPRODUCT(O83:O261,E83:E261)/O262</f>
        <v>8.3608628704297125E-2</v>
      </c>
      <c r="P263" s="165"/>
      <c r="Q263" s="165"/>
      <c r="R263" s="165"/>
      <c r="S263" s="165"/>
      <c r="T263" s="165"/>
      <c r="U263" s="165"/>
      <c r="V263" s="172"/>
    </row>
    <row r="264" spans="2:22" ht="12" thickBot="1" x14ac:dyDescent="0.25">
      <c r="B264" s="233" t="s">
        <v>549</v>
      </c>
      <c r="C264" s="234"/>
      <c r="D264" s="235"/>
      <c r="E264" s="236"/>
      <c r="F264" s="237"/>
      <c r="G264" s="238"/>
      <c r="H264" s="239"/>
      <c r="I264" s="234"/>
      <c r="J264" s="234"/>
      <c r="K264" s="240">
        <f>K262+K79</f>
        <v>21694.248102281985</v>
      </c>
      <c r="L264" s="241">
        <f>L262+L79</f>
        <v>219364336561.12</v>
      </c>
      <c r="M264" s="240">
        <f>M262+M79</f>
        <v>21747.439286407396</v>
      </c>
      <c r="N264" s="241">
        <f>N262+N79</f>
        <v>220189722965.29999</v>
      </c>
      <c r="O264" s="241">
        <f>O262+O79</f>
        <v>439554059526.42004</v>
      </c>
      <c r="P264" s="241">
        <f t="shared" ref="P264:U264" si="218">P262+P79</f>
        <v>201491135009.01093</v>
      </c>
      <c r="Q264" s="241">
        <f t="shared" si="218"/>
        <v>213580603109.55154</v>
      </c>
      <c r="R264" s="241">
        <f t="shared" si="218"/>
        <v>5783733451.5684681</v>
      </c>
      <c r="S264" s="241">
        <f t="shared" si="218"/>
        <v>202263619873.29532</v>
      </c>
      <c r="T264" s="241">
        <f t="shared" si="218"/>
        <v>214399437065.69302</v>
      </c>
      <c r="U264" s="241">
        <f t="shared" si="218"/>
        <v>5790285899.6070023</v>
      </c>
      <c r="V264" s="242">
        <f>V262+V79</f>
        <v>11574019351.175474</v>
      </c>
    </row>
    <row r="265" spans="2:22" ht="12" thickBot="1" x14ac:dyDescent="0.25">
      <c r="B265" s="230" t="s">
        <v>550</v>
      </c>
      <c r="C265" s="165"/>
      <c r="D265" s="166"/>
      <c r="E265" s="167"/>
      <c r="F265" s="168"/>
      <c r="G265" s="169"/>
      <c r="H265" s="170"/>
      <c r="I265" s="165"/>
      <c r="J265" s="165"/>
      <c r="K265" s="165"/>
      <c r="L265" s="165"/>
      <c r="M265" s="165"/>
      <c r="N265" s="165"/>
      <c r="O265" s="171">
        <f>((O262*O263)+(O79*O80))/(O79+O262)</f>
        <v>8.8744539205872483E-2</v>
      </c>
      <c r="P265" s="165"/>
      <c r="Q265" s="165"/>
      <c r="R265" s="165"/>
      <c r="S265" s="165"/>
      <c r="T265" s="165"/>
      <c r="U265" s="165"/>
      <c r="V265" s="172"/>
    </row>
    <row r="267" spans="2:22" x14ac:dyDescent="0.2">
      <c r="B267" s="232" t="s">
        <v>551</v>
      </c>
    </row>
    <row r="268" spans="2:22" x14ac:dyDescent="0.2">
      <c r="B268" s="175" t="s">
        <v>252</v>
      </c>
    </row>
  </sheetData>
  <mergeCells count="84">
    <mergeCell ref="K26:K28"/>
    <mergeCell ref="L26:L28"/>
    <mergeCell ref="Q14:Q15"/>
    <mergeCell ref="Q26:Q28"/>
    <mergeCell ref="Q35:Q36"/>
    <mergeCell ref="K35:K36"/>
    <mergeCell ref="L35:L36"/>
    <mergeCell ref="M35:M36"/>
    <mergeCell ref="N35:N36"/>
    <mergeCell ref="O35:O36"/>
    <mergeCell ref="K14:K15"/>
    <mergeCell ref="L14:L15"/>
    <mergeCell ref="M14:M15"/>
    <mergeCell ref="N14:N15"/>
    <mergeCell ref="O14:O15"/>
    <mergeCell ref="K37:K38"/>
    <mergeCell ref="L37:L38"/>
    <mergeCell ref="M37:M38"/>
    <mergeCell ref="N37:N38"/>
    <mergeCell ref="O37:O38"/>
    <mergeCell ref="S14:S15"/>
    <mergeCell ref="S26:S28"/>
    <mergeCell ref="S35:S36"/>
    <mergeCell ref="S37:S38"/>
    <mergeCell ref="M26:M28"/>
    <mergeCell ref="N26:N28"/>
    <mergeCell ref="O26:O28"/>
    <mergeCell ref="P26:P28"/>
    <mergeCell ref="P35:P36"/>
    <mergeCell ref="P37:P38"/>
    <mergeCell ref="P14:P15"/>
    <mergeCell ref="Q37:Q38"/>
    <mergeCell ref="R14:R15"/>
    <mergeCell ref="R26:R28"/>
    <mergeCell ref="R35:R36"/>
    <mergeCell ref="R37:R38"/>
    <mergeCell ref="V14:V15"/>
    <mergeCell ref="V26:V28"/>
    <mergeCell ref="V35:V36"/>
    <mergeCell ref="V37:V38"/>
    <mergeCell ref="T14:T15"/>
    <mergeCell ref="T26:T28"/>
    <mergeCell ref="T35:T36"/>
    <mergeCell ref="T37:T38"/>
    <mergeCell ref="U14:U15"/>
    <mergeCell ref="U26:U28"/>
    <mergeCell ref="U35:U36"/>
    <mergeCell ref="U37:U38"/>
    <mergeCell ref="K107:K108"/>
    <mergeCell ref="L107:L108"/>
    <mergeCell ref="M107:M108"/>
    <mergeCell ref="N107:N108"/>
    <mergeCell ref="O107:O108"/>
    <mergeCell ref="K115:K117"/>
    <mergeCell ref="L115:L117"/>
    <mergeCell ref="M115:M117"/>
    <mergeCell ref="N115:N117"/>
    <mergeCell ref="O115:O117"/>
    <mergeCell ref="K120:K121"/>
    <mergeCell ref="L120:L121"/>
    <mergeCell ref="M120:M121"/>
    <mergeCell ref="N120:N121"/>
    <mergeCell ref="O120:O121"/>
    <mergeCell ref="P115:P117"/>
    <mergeCell ref="P120:P121"/>
    <mergeCell ref="Q107:Q108"/>
    <mergeCell ref="Q115:Q117"/>
    <mergeCell ref="Q120:Q121"/>
    <mergeCell ref="P107:P108"/>
    <mergeCell ref="R115:R117"/>
    <mergeCell ref="R120:R121"/>
    <mergeCell ref="S107:S108"/>
    <mergeCell ref="S115:S117"/>
    <mergeCell ref="S120:S121"/>
    <mergeCell ref="R107:R108"/>
    <mergeCell ref="V115:V117"/>
    <mergeCell ref="V120:V121"/>
    <mergeCell ref="T115:T117"/>
    <mergeCell ref="T120:T121"/>
    <mergeCell ref="U107:U108"/>
    <mergeCell ref="U115:U117"/>
    <mergeCell ref="U120:U121"/>
    <mergeCell ref="T107:T108"/>
    <mergeCell ref="V107:V108"/>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1"/>
  <sheetViews>
    <sheetView showGridLines="0" workbookViewId="0"/>
  </sheetViews>
  <sheetFormatPr baseColWidth="10" defaultRowHeight="12.75" x14ac:dyDescent="0.2"/>
  <cols>
    <col min="1" max="1" width="11.42578125" style="89"/>
    <col min="2" max="2" width="58.42578125" style="89" bestFit="1" customWidth="1"/>
    <col min="3" max="3" width="14.140625" style="90" customWidth="1"/>
    <col min="4" max="4" width="11.85546875" style="90" bestFit="1" customWidth="1"/>
    <col min="5" max="5" width="12.7109375" style="90" customWidth="1"/>
    <col min="6" max="6" width="12.5703125" style="89" customWidth="1"/>
    <col min="7" max="7" width="15.28515625" style="89" bestFit="1" customWidth="1"/>
    <col min="8" max="16384" width="11.42578125" style="89"/>
  </cols>
  <sheetData>
    <row r="1" spans="2:8" x14ac:dyDescent="0.2">
      <c r="G1" s="89" t="s">
        <v>373</v>
      </c>
      <c r="H1" s="91">
        <v>0</v>
      </c>
    </row>
    <row r="2" spans="2:8" x14ac:dyDescent="0.2">
      <c r="G2" s="92" t="s">
        <v>374</v>
      </c>
      <c r="H2" s="93">
        <v>7.0000000000000007E-2</v>
      </c>
    </row>
    <row r="3" spans="2:8" x14ac:dyDescent="0.2">
      <c r="G3" s="89" t="s">
        <v>375</v>
      </c>
      <c r="H3" s="91">
        <v>7.0000000000000007E-2</v>
      </c>
    </row>
    <row r="4" spans="2:8" ht="13.5" thickBot="1" x14ac:dyDescent="0.25">
      <c r="F4" s="66"/>
    </row>
    <row r="5" spans="2:8" x14ac:dyDescent="0.2">
      <c r="B5" s="94" t="s">
        <v>376</v>
      </c>
      <c r="C5" s="95" t="s">
        <v>377</v>
      </c>
      <c r="D5" s="95" t="s">
        <v>428</v>
      </c>
      <c r="E5" s="96" t="s">
        <v>429</v>
      </c>
    </row>
    <row r="6" spans="2:8" x14ac:dyDescent="0.2">
      <c r="B6" s="97" t="s">
        <v>378</v>
      </c>
      <c r="C6" s="98">
        <v>56000</v>
      </c>
      <c r="D6" s="99">
        <v>7.0000000000000007E-2</v>
      </c>
      <c r="E6" s="100">
        <f t="shared" ref="E6:E22" si="0">+ROUND((C6*D6)+C6,-3)</f>
        <v>60000</v>
      </c>
      <c r="G6" s="101"/>
      <c r="H6" s="101"/>
    </row>
    <row r="7" spans="2:8" x14ac:dyDescent="0.2">
      <c r="B7" s="102" t="s">
        <v>379</v>
      </c>
      <c r="C7" s="103">
        <v>28000</v>
      </c>
      <c r="D7" s="99">
        <v>7.0000000000000007E-2</v>
      </c>
      <c r="E7" s="104">
        <f t="shared" si="0"/>
        <v>30000</v>
      </c>
      <c r="G7" s="101"/>
      <c r="H7" s="101"/>
    </row>
    <row r="8" spans="2:8" x14ac:dyDescent="0.2">
      <c r="B8" s="97" t="s">
        <v>380</v>
      </c>
      <c r="C8" s="98">
        <v>56000</v>
      </c>
      <c r="D8" s="99">
        <v>7.0000000000000007E-2</v>
      </c>
      <c r="E8" s="100">
        <f t="shared" si="0"/>
        <v>60000</v>
      </c>
      <c r="G8" s="101"/>
      <c r="H8" s="101"/>
    </row>
    <row r="9" spans="2:8" x14ac:dyDescent="0.2">
      <c r="B9" s="97" t="s">
        <v>381</v>
      </c>
      <c r="C9" s="98">
        <v>29000</v>
      </c>
      <c r="D9" s="99">
        <v>7.0000000000000007E-2</v>
      </c>
      <c r="E9" s="100">
        <f t="shared" si="0"/>
        <v>31000</v>
      </c>
      <c r="G9" s="101"/>
      <c r="H9" s="101"/>
    </row>
    <row r="10" spans="2:8" x14ac:dyDescent="0.2">
      <c r="B10" s="97" t="s">
        <v>382</v>
      </c>
      <c r="C10" s="98">
        <v>45000</v>
      </c>
      <c r="D10" s="99">
        <v>7.0000000000000007E-2</v>
      </c>
      <c r="E10" s="100">
        <f t="shared" si="0"/>
        <v>48000</v>
      </c>
      <c r="G10" s="101"/>
      <c r="H10" s="101"/>
    </row>
    <row r="11" spans="2:8" x14ac:dyDescent="0.2">
      <c r="B11" s="97" t="s">
        <v>383</v>
      </c>
      <c r="C11" s="98">
        <v>490000</v>
      </c>
      <c r="D11" s="99">
        <v>7.0000000000000007E-2</v>
      </c>
      <c r="E11" s="100">
        <f t="shared" si="0"/>
        <v>524000</v>
      </c>
      <c r="G11" s="101"/>
      <c r="H11" s="101"/>
    </row>
    <row r="12" spans="2:8" x14ac:dyDescent="0.2">
      <c r="B12" s="97" t="s">
        <v>430</v>
      </c>
      <c r="C12" s="98">
        <v>147000</v>
      </c>
      <c r="D12" s="99">
        <v>7.0000000000000007E-2</v>
      </c>
      <c r="E12" s="100">
        <f t="shared" si="0"/>
        <v>157000</v>
      </c>
      <c r="G12" s="101"/>
      <c r="H12" s="101"/>
    </row>
    <row r="13" spans="2:8" x14ac:dyDescent="0.2">
      <c r="B13" s="102" t="s">
        <v>384</v>
      </c>
      <c r="C13" s="103">
        <v>98000</v>
      </c>
      <c r="D13" s="99">
        <v>0</v>
      </c>
      <c r="E13" s="104">
        <f t="shared" si="0"/>
        <v>98000</v>
      </c>
      <c r="G13" s="101"/>
      <c r="H13" s="101"/>
    </row>
    <row r="14" spans="2:8" x14ac:dyDescent="0.2">
      <c r="B14" s="102" t="s">
        <v>385</v>
      </c>
      <c r="C14" s="103">
        <v>313000</v>
      </c>
      <c r="D14" s="99">
        <v>7.0000000000000007E-2</v>
      </c>
      <c r="E14" s="104">
        <f t="shared" si="0"/>
        <v>335000</v>
      </c>
      <c r="G14" s="101"/>
      <c r="H14" s="101"/>
    </row>
    <row r="15" spans="2:8" x14ac:dyDescent="0.2">
      <c r="B15" s="97" t="s">
        <v>386</v>
      </c>
      <c r="C15" s="98">
        <v>151000</v>
      </c>
      <c r="D15" s="99">
        <v>7.0000000000000007E-2</v>
      </c>
      <c r="E15" s="100">
        <f t="shared" si="0"/>
        <v>162000</v>
      </c>
      <c r="G15" s="101"/>
      <c r="H15" s="101"/>
    </row>
    <row r="16" spans="2:8" x14ac:dyDescent="0.2">
      <c r="B16" s="97" t="s">
        <v>387</v>
      </c>
      <c r="C16" s="98">
        <v>114000</v>
      </c>
      <c r="D16" s="99">
        <v>7.0000000000000007E-2</v>
      </c>
      <c r="E16" s="100">
        <f t="shared" si="0"/>
        <v>122000</v>
      </c>
      <c r="G16" s="101"/>
      <c r="H16" s="101"/>
    </row>
    <row r="17" spans="2:8" ht="25.5" x14ac:dyDescent="0.2">
      <c r="B17" s="97" t="s">
        <v>388</v>
      </c>
      <c r="C17" s="98">
        <v>668000</v>
      </c>
      <c r="D17" s="99">
        <v>7.0000000000000007E-2</v>
      </c>
      <c r="E17" s="100">
        <f t="shared" si="0"/>
        <v>715000</v>
      </c>
      <c r="G17" s="101"/>
      <c r="H17" s="101"/>
    </row>
    <row r="18" spans="2:8" ht="25.5" x14ac:dyDescent="0.2">
      <c r="B18" s="97" t="s">
        <v>389</v>
      </c>
      <c r="C18" s="98">
        <v>109000</v>
      </c>
      <c r="D18" s="99">
        <v>7.0000000000000007E-2</v>
      </c>
      <c r="E18" s="100">
        <f t="shared" si="0"/>
        <v>117000</v>
      </c>
      <c r="G18" s="101"/>
      <c r="H18" s="101"/>
    </row>
    <row r="19" spans="2:8" x14ac:dyDescent="0.2">
      <c r="B19" s="97" t="s">
        <v>390</v>
      </c>
      <c r="C19" s="98">
        <v>196000</v>
      </c>
      <c r="D19" s="99">
        <v>7.0000000000000007E-2</v>
      </c>
      <c r="E19" s="100">
        <f t="shared" si="0"/>
        <v>210000</v>
      </c>
      <c r="G19" s="101"/>
      <c r="H19" s="101"/>
    </row>
    <row r="20" spans="2:8" x14ac:dyDescent="0.2">
      <c r="B20" s="97" t="s">
        <v>391</v>
      </c>
      <c r="C20" s="98">
        <v>39000</v>
      </c>
      <c r="D20" s="99">
        <v>7.0000000000000007E-2</v>
      </c>
      <c r="E20" s="100">
        <f t="shared" si="0"/>
        <v>42000</v>
      </c>
      <c r="G20" s="101"/>
      <c r="H20" s="101"/>
    </row>
    <row r="21" spans="2:8" x14ac:dyDescent="0.2">
      <c r="B21" s="97" t="s">
        <v>392</v>
      </c>
      <c r="C21" s="98">
        <v>154000</v>
      </c>
      <c r="D21" s="99">
        <v>7.0000000000000007E-2</v>
      </c>
      <c r="E21" s="100">
        <f t="shared" si="0"/>
        <v>165000</v>
      </c>
      <c r="G21" s="101"/>
      <c r="H21" s="101"/>
    </row>
    <row r="22" spans="2:8" ht="13.5" thickBot="1" x14ac:dyDescent="0.25">
      <c r="B22" s="105" t="s">
        <v>393</v>
      </c>
      <c r="C22" s="106">
        <v>333000</v>
      </c>
      <c r="D22" s="107">
        <v>7.0000000000000007E-2</v>
      </c>
      <c r="E22" s="108">
        <f t="shared" si="0"/>
        <v>356000</v>
      </c>
      <c r="G22" s="101"/>
      <c r="H22" s="101"/>
    </row>
    <row r="23" spans="2:8" x14ac:dyDescent="0.2">
      <c r="D23" s="109"/>
      <c r="G23" s="101"/>
      <c r="H23" s="101"/>
    </row>
    <row r="24" spans="2:8" ht="13.5" thickBot="1" x14ac:dyDescent="0.25">
      <c r="D24" s="109"/>
      <c r="G24" s="101"/>
      <c r="H24" s="101"/>
    </row>
    <row r="25" spans="2:8" ht="13.5" thickBot="1" x14ac:dyDescent="0.25">
      <c r="B25" s="110" t="s">
        <v>394</v>
      </c>
      <c r="C25" s="111" t="s">
        <v>377</v>
      </c>
      <c r="D25" s="111" t="s">
        <v>428</v>
      </c>
      <c r="E25" s="111" t="s">
        <v>429</v>
      </c>
      <c r="G25" s="101"/>
      <c r="H25" s="101"/>
    </row>
    <row r="26" spans="2:8" x14ac:dyDescent="0.2">
      <c r="B26" s="112" t="s">
        <v>395</v>
      </c>
      <c r="C26" s="113">
        <v>26000</v>
      </c>
      <c r="D26" s="114">
        <v>0</v>
      </c>
      <c r="E26" s="100">
        <f>+ROUND((C26*D26)+C26,-3)</f>
        <v>26000</v>
      </c>
      <c r="G26" s="101"/>
      <c r="H26" s="101"/>
    </row>
    <row r="27" spans="2:8" x14ac:dyDescent="0.2">
      <c r="B27" s="97" t="s">
        <v>396</v>
      </c>
      <c r="C27" s="98">
        <v>285000</v>
      </c>
      <c r="D27" s="99">
        <v>7.0000000000000007E-2</v>
      </c>
      <c r="E27" s="100">
        <f>+ROUND((C27*D27)+C27,-3)</f>
        <v>305000</v>
      </c>
      <c r="G27" s="101"/>
      <c r="H27" s="101"/>
    </row>
    <row r="28" spans="2:8" ht="13.5" thickBot="1" x14ac:dyDescent="0.25">
      <c r="B28" s="105" t="s">
        <v>387</v>
      </c>
      <c r="C28" s="106">
        <v>71000</v>
      </c>
      <c r="D28" s="107">
        <v>7.0000000000000007E-2</v>
      </c>
      <c r="E28" s="108">
        <f>+ROUND((C28*D28)+C28,-3)</f>
        <v>76000</v>
      </c>
      <c r="G28" s="101"/>
      <c r="H28" s="101"/>
    </row>
    <row r="31" spans="2:8" x14ac:dyDescent="0.2">
      <c r="B31" s="115"/>
      <c r="C31" s="116"/>
      <c r="D31" s="116"/>
    </row>
  </sheetData>
  <pageMargins left="0.75" right="0.75" top="1" bottom="1" header="0" footer="0"/>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Valor de los proyectos 2017</vt:lpstr>
      <vt:lpstr>Presupuesto aprobado 2017</vt:lpstr>
      <vt:lpstr>Recursos para inversiones 2017</vt:lpstr>
      <vt:lpstr>Valores matrículas 2016 - 2017</vt:lpstr>
      <vt:lpstr>Otros conceptos 2016 - 2017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Guarnizo Sánchez</dc:creator>
  <cp:lastModifiedBy>Jorge Alberto Silva Rueda</cp:lastModifiedBy>
  <dcterms:created xsi:type="dcterms:W3CDTF">2015-11-22T13:47:05Z</dcterms:created>
  <dcterms:modified xsi:type="dcterms:W3CDTF">2016-12-13T21:17:33Z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