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Pacho\Desktop\DERECHOS PECUNIARIOS\"/>
    </mc:Choice>
  </mc:AlternateContent>
  <xr:revisionPtr revIDLastSave="0" documentId="13_ncr:1_{72A1E178-F73D-437D-9E42-200B1A97AF6D}" xr6:coauthVersionLast="47" xr6:coauthVersionMax="47" xr10:uidLastSave="{00000000-0000-0000-0000-000000000000}"/>
  <bookViews>
    <workbookView xWindow="-120" yWindow="-120" windowWidth="20730" windowHeight="11160" tabRatio="852" activeTab="6" xr2:uid="{00000000-000D-0000-FFFF-FFFF00000000}"/>
  </bookViews>
  <sheets>
    <sheet name="Contenido" sheetId="11" r:id="rId1"/>
    <sheet name="Valor de los Proyectos 2022" sheetId="1" r:id="rId2"/>
    <sheet name="Presupuesto 2022" sheetId="15" r:id="rId3"/>
    <sheet name="Recursos Inversiones 2022" sheetId="3" r:id="rId4"/>
    <sheet name="Valores Matrícula 2021-2022" sheetId="13" r:id="rId5"/>
    <sheet name="Valores Matricula2017-2018 (2)" sheetId="14" state="hidden" r:id="rId6"/>
    <sheet name="Otros Conceptos 2022" sheetId="10" r:id="rId7"/>
  </sheets>
  <definedNames>
    <definedName name="_xlnm._FilterDatabase" localSheetId="2" hidden="1">'Presupuesto 2022'!$B$5:$G$260</definedName>
    <definedName name="_xlnm._FilterDatabase" localSheetId="4" hidden="1">'Valores Matrícula 2021-2022'!$B$10:$W$67</definedName>
    <definedName name="_xlnm._FilterDatabase" localSheetId="5" hidden="1">'Valores Matricula2017-2018 (2)'!$B$11:$W$60</definedName>
    <definedName name="_xlnm.Print_Area" localSheetId="4">'Valores Matrícula 2021-2022'!$A$10:$W$77</definedName>
    <definedName name="_xlnm.Print_Area" localSheetId="5">'Valores Matricula2017-2018 (2)'!$A$11:$W$67</definedName>
    <definedName name="_xlnm.Print_Titles" localSheetId="4">'Valores Matrícula 2021-2022'!#REF!</definedName>
    <definedName name="_xlnm.Print_Titles" localSheetId="5">'Valores Matricula2017-2018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1" i="13" l="1"/>
  <c r="G121" i="13"/>
  <c r="J37" i="1" l="1"/>
  <c r="J32" i="1"/>
  <c r="J27" i="1"/>
  <c r="J21" i="1"/>
  <c r="J16" i="1"/>
  <c r="J13" i="1"/>
  <c r="J10" i="1"/>
  <c r="J6" i="1"/>
  <c r="P119" i="13"/>
  <c r="F113" i="13"/>
  <c r="P95" i="13"/>
  <c r="P18" i="13"/>
  <c r="P16" i="13"/>
  <c r="P14" i="13"/>
  <c r="P12" i="13"/>
  <c r="G65" i="13"/>
  <c r="E65" i="13"/>
  <c r="E121" i="13"/>
  <c r="K12" i="13"/>
  <c r="I12" i="13"/>
  <c r="F12" i="13"/>
  <c r="Q12" i="13" s="1"/>
  <c r="R12" i="13" s="1"/>
  <c r="S12" i="13" s="1"/>
  <c r="T12" i="13" l="1"/>
  <c r="U12" i="13" s="1"/>
  <c r="V12" i="13" s="1"/>
  <c r="W12" i="13" s="1"/>
  <c r="G61" i="15"/>
  <c r="E26" i="10" l="1"/>
  <c r="E8" i="10"/>
  <c r="K83" i="13"/>
  <c r="I113" i="13"/>
  <c r="P113" i="13"/>
  <c r="P100" i="13" l="1"/>
  <c r="G263" i="15" l="1"/>
  <c r="G253" i="15"/>
  <c r="G249" i="15"/>
  <c r="G209" i="15"/>
  <c r="G207" i="15"/>
  <c r="G202" i="15"/>
  <c r="G197" i="15"/>
  <c r="G188" i="15"/>
  <c r="G182" i="15"/>
  <c r="G151" i="15"/>
  <c r="G139" i="15"/>
  <c r="G135" i="15"/>
  <c r="G128" i="15"/>
  <c r="G119" i="15"/>
  <c r="G87" i="15"/>
  <c r="G51" i="15"/>
  <c r="G47" i="15"/>
  <c r="G33" i="15"/>
  <c r="G64" i="15" l="1"/>
  <c r="G273" i="15"/>
  <c r="G276" i="15" s="1"/>
  <c r="P85" i="13"/>
  <c r="K51" i="13" l="1"/>
  <c r="I51" i="13"/>
  <c r="P42" i="13" l="1"/>
  <c r="P51" i="13"/>
  <c r="P62" i="13"/>
  <c r="P61" i="13"/>
  <c r="K62" i="13"/>
  <c r="K63" i="13"/>
  <c r="I62" i="13"/>
  <c r="I63" i="13"/>
  <c r="I64" i="13"/>
  <c r="P89" i="13"/>
  <c r="F96" i="13" l="1"/>
  <c r="F97" i="13"/>
  <c r="K85" i="13" l="1"/>
  <c r="I85" i="13"/>
  <c r="K34" i="13"/>
  <c r="I34" i="13"/>
  <c r="F34" i="13"/>
  <c r="K33" i="13"/>
  <c r="I33" i="13"/>
  <c r="F33" i="13"/>
  <c r="P32" i="13"/>
  <c r="K32" i="13"/>
  <c r="I32" i="13"/>
  <c r="F32" i="13"/>
  <c r="Q32" i="13" s="1"/>
  <c r="R32" i="13" s="1"/>
  <c r="S32" i="13" s="1"/>
  <c r="T32" i="13" l="1"/>
  <c r="U32" i="13" s="1"/>
  <c r="V32" i="13" s="1"/>
  <c r="W32" i="13" s="1"/>
  <c r="F120" i="13" l="1"/>
  <c r="Q120" i="13" s="1"/>
  <c r="R120" i="13" s="1"/>
  <c r="S120" i="13" s="1"/>
  <c r="F115" i="13"/>
  <c r="T115" i="13" s="1"/>
  <c r="U115" i="13" s="1"/>
  <c r="V115" i="13" s="1"/>
  <c r="F116" i="13"/>
  <c r="F117" i="13"/>
  <c r="Q117" i="13" s="1"/>
  <c r="R117" i="13" s="1"/>
  <c r="S117" i="13" s="1"/>
  <c r="P120" i="13"/>
  <c r="K120" i="13"/>
  <c r="I120" i="13"/>
  <c r="P117" i="13"/>
  <c r="K117" i="13"/>
  <c r="I117" i="13"/>
  <c r="P116" i="13"/>
  <c r="K116" i="13"/>
  <c r="I116" i="13"/>
  <c r="P115" i="13"/>
  <c r="K115" i="13"/>
  <c r="I115" i="13"/>
  <c r="K119" i="13"/>
  <c r="I119" i="13"/>
  <c r="F119" i="13"/>
  <c r="T119" i="13" s="1"/>
  <c r="U119" i="13" s="1"/>
  <c r="V119" i="13" s="1"/>
  <c r="Q116" i="13" l="1"/>
  <c r="R116" i="13" s="1"/>
  <c r="S116" i="13" s="1"/>
  <c r="T116" i="13"/>
  <c r="U116" i="13" s="1"/>
  <c r="V116" i="13" s="1"/>
  <c r="T120" i="13"/>
  <c r="U120" i="13" s="1"/>
  <c r="V120" i="13" s="1"/>
  <c r="W120" i="13" s="1"/>
  <c r="Q115" i="13"/>
  <c r="R115" i="13" s="1"/>
  <c r="S115" i="13" s="1"/>
  <c r="W115" i="13" s="1"/>
  <c r="T117" i="13"/>
  <c r="U117" i="13" s="1"/>
  <c r="V117" i="13" s="1"/>
  <c r="W117" i="13" s="1"/>
  <c r="Q119" i="13"/>
  <c r="R119" i="13" s="1"/>
  <c r="S119" i="13" s="1"/>
  <c r="W119" i="13" s="1"/>
  <c r="K100" i="13"/>
  <c r="I100" i="13"/>
  <c r="F100" i="13"/>
  <c r="Q100" i="13" s="1"/>
  <c r="R100" i="13" s="1"/>
  <c r="S100" i="13" s="1"/>
  <c r="P99" i="13"/>
  <c r="K99" i="13"/>
  <c r="I99" i="13"/>
  <c r="F99" i="13"/>
  <c r="Q99" i="13" s="1"/>
  <c r="R99" i="13" s="1"/>
  <c r="S99" i="13" s="1"/>
  <c r="F85" i="13"/>
  <c r="F74" i="13"/>
  <c r="F75" i="13"/>
  <c r="Q75" i="13" s="1"/>
  <c r="R75" i="13" s="1"/>
  <c r="S75" i="13" s="1"/>
  <c r="I75" i="13"/>
  <c r="K75" i="13"/>
  <c r="P75" i="13"/>
  <c r="F62" i="13"/>
  <c r="T62" i="13" s="1"/>
  <c r="F64" i="13"/>
  <c r="K64" i="13"/>
  <c r="F53" i="13"/>
  <c r="F54" i="13"/>
  <c r="F51" i="13"/>
  <c r="F42" i="13"/>
  <c r="F23" i="13"/>
  <c r="W116" i="13" l="1"/>
  <c r="T85" i="13"/>
  <c r="U85" i="13" s="1"/>
  <c r="V85" i="13" s="1"/>
  <c r="Q85" i="13"/>
  <c r="R85" i="13" s="1"/>
  <c r="S85" i="13" s="1"/>
  <c r="Q51" i="13"/>
  <c r="R51" i="13" s="1"/>
  <c r="S51" i="13" s="1"/>
  <c r="T51" i="13"/>
  <c r="U51" i="13" s="1"/>
  <c r="V51" i="13" s="1"/>
  <c r="T64" i="13"/>
  <c r="U64" i="13" s="1"/>
  <c r="V64" i="13" s="1"/>
  <c r="W64" i="13" s="1"/>
  <c r="Q64" i="13"/>
  <c r="R64" i="13" s="1"/>
  <c r="U62" i="13"/>
  <c r="V62" i="13" s="1"/>
  <c r="Q62" i="13"/>
  <c r="R62" i="13" s="1"/>
  <c r="S62" i="13" s="1"/>
  <c r="T99" i="13"/>
  <c r="U99" i="13" s="1"/>
  <c r="V99" i="13" s="1"/>
  <c r="W99" i="13" s="1"/>
  <c r="T100" i="13"/>
  <c r="U100" i="13" s="1"/>
  <c r="V100" i="13" s="1"/>
  <c r="W100" i="13" s="1"/>
  <c r="T75" i="13"/>
  <c r="U75" i="13" s="1"/>
  <c r="V75" i="13" s="1"/>
  <c r="W75" i="13" s="1"/>
  <c r="W85" i="13" l="1"/>
  <c r="W62" i="13"/>
  <c r="W51" i="13"/>
  <c r="P23" i="13" l="1"/>
  <c r="F57" i="13" l="1"/>
  <c r="T57" i="13" l="1"/>
  <c r="U57" i="13" s="1"/>
  <c r="V57" i="13" s="1"/>
  <c r="Q57" i="13"/>
  <c r="R57" i="13" s="1"/>
  <c r="S57" i="13" s="1"/>
  <c r="P57" i="13"/>
  <c r="Q42" i="13"/>
  <c r="R42" i="13" s="1"/>
  <c r="S42" i="13" s="1"/>
  <c r="T42" i="13"/>
  <c r="U42" i="13" s="1"/>
  <c r="V42" i="13" s="1"/>
  <c r="Q23" i="13"/>
  <c r="R23" i="13" s="1"/>
  <c r="S23" i="13" s="1"/>
  <c r="T23" i="13"/>
  <c r="U23" i="13" s="1"/>
  <c r="V23" i="13" s="1"/>
  <c r="Q74" i="13"/>
  <c r="R74" i="13" s="1"/>
  <c r="S74" i="13" s="1"/>
  <c r="P74" i="13"/>
  <c r="T74" i="13"/>
  <c r="U74" i="13" s="1"/>
  <c r="V74" i="13" s="1"/>
  <c r="I14" i="13"/>
  <c r="I13" i="13"/>
  <c r="W57" i="13" l="1"/>
  <c r="W23" i="13"/>
  <c r="W74" i="13"/>
  <c r="W42" i="13"/>
  <c r="F90" i="13" l="1"/>
  <c r="K84" i="13" l="1"/>
  <c r="I84" i="13"/>
  <c r="F83" i="13"/>
  <c r="T83" i="13" s="1"/>
  <c r="F84" i="13"/>
  <c r="K74" i="13"/>
  <c r="I74" i="13"/>
  <c r="K57" i="13"/>
  <c r="I57" i="13"/>
  <c r="I23" i="13"/>
  <c r="K23" i="13"/>
  <c r="K42" i="13"/>
  <c r="I42" i="13"/>
  <c r="F41" i="13"/>
  <c r="F14" i="13" l="1"/>
  <c r="F69" i="13"/>
  <c r="F70" i="13"/>
  <c r="Q70" i="13" s="1"/>
  <c r="R70" i="13" s="1"/>
  <c r="F71" i="13"/>
  <c r="T71" i="13" s="1"/>
  <c r="F72" i="13"/>
  <c r="T72" i="13" s="1"/>
  <c r="U72" i="13" s="1"/>
  <c r="V72" i="13" s="1"/>
  <c r="F73" i="13"/>
  <c r="T73" i="13" s="1"/>
  <c r="U73" i="13" s="1"/>
  <c r="V73" i="13" s="1"/>
  <c r="F77" i="13"/>
  <c r="F78" i="13"/>
  <c r="F79" i="13"/>
  <c r="F80" i="13"/>
  <c r="F81" i="13"/>
  <c r="T81" i="13" s="1"/>
  <c r="U81" i="13" s="1"/>
  <c r="V81" i="13" s="1"/>
  <c r="F82" i="13"/>
  <c r="F86" i="13"/>
  <c r="Q86" i="13" s="1"/>
  <c r="R86" i="13" s="1"/>
  <c r="S86" i="13" s="1"/>
  <c r="F88" i="13"/>
  <c r="T88" i="13" s="1"/>
  <c r="U88" i="13" s="1"/>
  <c r="V88" i="13" s="1"/>
  <c r="F89" i="13"/>
  <c r="Q89" i="13" s="1"/>
  <c r="R89" i="13" s="1"/>
  <c r="S89" i="13" s="1"/>
  <c r="T90" i="13"/>
  <c r="U90" i="13" s="1"/>
  <c r="V90" i="13" s="1"/>
  <c r="F91" i="13"/>
  <c r="F92" i="13"/>
  <c r="F93" i="13"/>
  <c r="Q93" i="13" s="1"/>
  <c r="F94" i="13"/>
  <c r="Q94" i="13" s="1"/>
  <c r="F95" i="13"/>
  <c r="F98" i="13"/>
  <c r="Q98" i="13" s="1"/>
  <c r="R98" i="13" s="1"/>
  <c r="S98" i="13" s="1"/>
  <c r="F102" i="13"/>
  <c r="F103" i="13"/>
  <c r="Q103" i="13" s="1"/>
  <c r="R103" i="13" s="1"/>
  <c r="S103" i="13" s="1"/>
  <c r="F104" i="13"/>
  <c r="T104" i="13" s="1"/>
  <c r="U104" i="13" s="1"/>
  <c r="V104" i="13" s="1"/>
  <c r="F105" i="13"/>
  <c r="Q105" i="13" s="1"/>
  <c r="R105" i="13" s="1"/>
  <c r="S105" i="13" s="1"/>
  <c r="F106" i="13"/>
  <c r="Q106" i="13" s="1"/>
  <c r="R106" i="13" s="1"/>
  <c r="S106" i="13" s="1"/>
  <c r="F107" i="13"/>
  <c r="T107" i="13" s="1"/>
  <c r="U107" i="13" s="1"/>
  <c r="V107" i="13" s="1"/>
  <c r="F108" i="13"/>
  <c r="Q108" i="13" s="1"/>
  <c r="R108" i="13" s="1"/>
  <c r="S108" i="13" s="1"/>
  <c r="F109" i="13"/>
  <c r="Q109" i="13" s="1"/>
  <c r="R109" i="13" s="1"/>
  <c r="S109" i="13" s="1"/>
  <c r="F110" i="13"/>
  <c r="T110" i="13" s="1"/>
  <c r="U110" i="13" s="1"/>
  <c r="V110" i="13" s="1"/>
  <c r="F111" i="13"/>
  <c r="F112" i="13"/>
  <c r="F114" i="13"/>
  <c r="I95" i="13"/>
  <c r="K95" i="13"/>
  <c r="K114" i="13"/>
  <c r="I114" i="13"/>
  <c r="K113" i="13"/>
  <c r="K112" i="13"/>
  <c r="I112" i="13"/>
  <c r="K111" i="13"/>
  <c r="I111" i="13"/>
  <c r="K110" i="13"/>
  <c r="I110" i="13"/>
  <c r="K109" i="13"/>
  <c r="I109" i="13"/>
  <c r="K108" i="13"/>
  <c r="I108" i="13"/>
  <c r="K107" i="13"/>
  <c r="I107" i="13"/>
  <c r="K106" i="13"/>
  <c r="I106" i="13"/>
  <c r="K105" i="13"/>
  <c r="I105" i="13"/>
  <c r="K104" i="13"/>
  <c r="I104" i="13"/>
  <c r="K103" i="13"/>
  <c r="I103" i="13"/>
  <c r="K102" i="13"/>
  <c r="I102" i="13"/>
  <c r="K98" i="13"/>
  <c r="I98" i="13"/>
  <c r="K97" i="13"/>
  <c r="I97" i="13"/>
  <c r="K96" i="13"/>
  <c r="I96" i="13"/>
  <c r="K94" i="13"/>
  <c r="I94" i="13"/>
  <c r="K93" i="13"/>
  <c r="I93" i="13"/>
  <c r="K92" i="13"/>
  <c r="I92" i="13"/>
  <c r="K91" i="13"/>
  <c r="I91" i="13"/>
  <c r="K90" i="13"/>
  <c r="I90" i="13"/>
  <c r="K89" i="13"/>
  <c r="I89" i="13"/>
  <c r="K88" i="13"/>
  <c r="I88" i="13"/>
  <c r="K86" i="13"/>
  <c r="I86" i="13"/>
  <c r="I83" i="13"/>
  <c r="K82" i="13"/>
  <c r="I82" i="13"/>
  <c r="K81" i="13"/>
  <c r="I81" i="13"/>
  <c r="K80" i="13"/>
  <c r="I80" i="13"/>
  <c r="K79" i="13"/>
  <c r="I79" i="13"/>
  <c r="K78" i="13"/>
  <c r="I78" i="13"/>
  <c r="K77" i="13"/>
  <c r="I77" i="13"/>
  <c r="K73" i="13"/>
  <c r="I73" i="13"/>
  <c r="K72" i="13"/>
  <c r="I72" i="13"/>
  <c r="K71" i="13"/>
  <c r="I71" i="13"/>
  <c r="K70" i="13"/>
  <c r="I70" i="13"/>
  <c r="K69" i="13"/>
  <c r="I69" i="13"/>
  <c r="K61" i="13"/>
  <c r="I61" i="13"/>
  <c r="K60" i="13"/>
  <c r="I60" i="13"/>
  <c r="K59" i="13"/>
  <c r="I59" i="13"/>
  <c r="K56" i="13"/>
  <c r="I56" i="13"/>
  <c r="K55" i="13"/>
  <c r="I55" i="13"/>
  <c r="K54" i="13"/>
  <c r="I54" i="13"/>
  <c r="K53" i="13"/>
  <c r="I53" i="13"/>
  <c r="K50" i="13"/>
  <c r="I50" i="13"/>
  <c r="K49" i="13"/>
  <c r="I49" i="13"/>
  <c r="K48" i="13"/>
  <c r="I48" i="13"/>
  <c r="K47" i="13"/>
  <c r="I47" i="13"/>
  <c r="K46" i="13"/>
  <c r="I46" i="13"/>
  <c r="K45" i="13"/>
  <c r="I45" i="13"/>
  <c r="K44" i="13"/>
  <c r="I44" i="13"/>
  <c r="K13" i="13"/>
  <c r="K14" i="13"/>
  <c r="K15" i="13"/>
  <c r="K16" i="13"/>
  <c r="K17" i="13"/>
  <c r="K18" i="13"/>
  <c r="K19" i="13"/>
  <c r="K20" i="13"/>
  <c r="K21" i="13"/>
  <c r="K22" i="13"/>
  <c r="I15" i="13"/>
  <c r="I16" i="13"/>
  <c r="I17" i="13"/>
  <c r="I18" i="13"/>
  <c r="I19" i="13"/>
  <c r="I20" i="13"/>
  <c r="I21" i="13"/>
  <c r="I22" i="13"/>
  <c r="P73" i="13"/>
  <c r="F40" i="13"/>
  <c r="Q40" i="13" s="1"/>
  <c r="R40" i="13" s="1"/>
  <c r="S40" i="13" s="1"/>
  <c r="F26" i="13"/>
  <c r="F27" i="13"/>
  <c r="T27" i="13" s="1"/>
  <c r="U27" i="13" s="1"/>
  <c r="V27" i="13" s="1"/>
  <c r="F28" i="13"/>
  <c r="F29" i="13"/>
  <c r="T29" i="13" s="1"/>
  <c r="U29" i="13" s="1"/>
  <c r="F30" i="13"/>
  <c r="F31" i="13"/>
  <c r="F35" i="13"/>
  <c r="T35" i="13" s="1"/>
  <c r="U35" i="13" s="1"/>
  <c r="V35" i="13" s="1"/>
  <c r="F36" i="13"/>
  <c r="F37" i="13"/>
  <c r="F38" i="13"/>
  <c r="Q38" i="13" s="1"/>
  <c r="R38" i="13" s="1"/>
  <c r="S38" i="13" s="1"/>
  <c r="F39" i="13"/>
  <c r="F25" i="13"/>
  <c r="Q25" i="13" s="1"/>
  <c r="R25" i="13" s="1"/>
  <c r="S25" i="13" s="1"/>
  <c r="K26" i="13"/>
  <c r="K27" i="13"/>
  <c r="K28" i="13"/>
  <c r="K29" i="13"/>
  <c r="K30" i="13"/>
  <c r="K31" i="13"/>
  <c r="K35" i="13"/>
  <c r="K36" i="13"/>
  <c r="K37" i="13"/>
  <c r="K38" i="13"/>
  <c r="K39" i="13"/>
  <c r="K40" i="13"/>
  <c r="K41" i="13"/>
  <c r="I26" i="13"/>
  <c r="I27" i="13"/>
  <c r="I28" i="13"/>
  <c r="I29" i="13"/>
  <c r="I30" i="13"/>
  <c r="I31" i="13"/>
  <c r="I35" i="13"/>
  <c r="I36" i="13"/>
  <c r="I37" i="13"/>
  <c r="I38" i="13"/>
  <c r="I39" i="13"/>
  <c r="I40" i="13"/>
  <c r="I41" i="13"/>
  <c r="P41" i="13"/>
  <c r="Q41" i="13"/>
  <c r="R41" i="13" s="1"/>
  <c r="S41" i="13" s="1"/>
  <c r="P40" i="13"/>
  <c r="F13" i="13"/>
  <c r="F15" i="13"/>
  <c r="F16" i="13"/>
  <c r="Q16" i="13" s="1"/>
  <c r="F17" i="13"/>
  <c r="F18" i="13"/>
  <c r="T18" i="13" s="1"/>
  <c r="U18" i="13" s="1"/>
  <c r="V18" i="13" s="1"/>
  <c r="F19" i="13"/>
  <c r="F20" i="13"/>
  <c r="Q20" i="13" s="1"/>
  <c r="R20" i="13" s="1"/>
  <c r="S20" i="13" s="1"/>
  <c r="F21" i="13"/>
  <c r="T21" i="13" s="1"/>
  <c r="U21" i="13" s="1"/>
  <c r="V21" i="13" s="1"/>
  <c r="F22" i="13"/>
  <c r="Q22" i="13" s="1"/>
  <c r="R22" i="13" s="1"/>
  <c r="S22" i="13" s="1"/>
  <c r="T41" i="13"/>
  <c r="U41" i="13" s="1"/>
  <c r="V41" i="13" s="1"/>
  <c r="J25" i="1"/>
  <c r="L121" i="13"/>
  <c r="N121" i="13"/>
  <c r="O121" i="13"/>
  <c r="J19" i="1"/>
  <c r="F45" i="13"/>
  <c r="F46" i="13"/>
  <c r="T46" i="13" s="1"/>
  <c r="F47" i="13"/>
  <c r="F48" i="13"/>
  <c r="F49" i="13"/>
  <c r="Q49" i="13" s="1"/>
  <c r="R49" i="13" s="1"/>
  <c r="S49" i="13" s="1"/>
  <c r="F50" i="13"/>
  <c r="T50" i="13" s="1"/>
  <c r="U50" i="13" s="1"/>
  <c r="V50" i="13" s="1"/>
  <c r="T53" i="13"/>
  <c r="U53" i="13" s="1"/>
  <c r="V53" i="13" s="1"/>
  <c r="Q54" i="13"/>
  <c r="F55" i="13"/>
  <c r="Q55" i="13" s="1"/>
  <c r="R55" i="13" s="1"/>
  <c r="S55" i="13" s="1"/>
  <c r="F56" i="13"/>
  <c r="P107" i="13"/>
  <c r="P93" i="13"/>
  <c r="P92" i="13"/>
  <c r="F63" i="13"/>
  <c r="F61" i="13"/>
  <c r="Q61" i="13" s="1"/>
  <c r="R61" i="13" s="1"/>
  <c r="S61" i="13" s="1"/>
  <c r="F60" i="13"/>
  <c r="F59" i="13"/>
  <c r="F44" i="13"/>
  <c r="Q44" i="13" s="1"/>
  <c r="R44" i="13" s="1"/>
  <c r="S44" i="13" s="1"/>
  <c r="P20" i="13"/>
  <c r="N111" i="14"/>
  <c r="L111" i="14"/>
  <c r="G111" i="14"/>
  <c r="K110" i="14"/>
  <c r="I110" i="14"/>
  <c r="F110" i="14"/>
  <c r="Q109" i="14" s="1"/>
  <c r="R109" i="14" s="1"/>
  <c r="S109" i="14" s="1"/>
  <c r="P109" i="14"/>
  <c r="K109" i="14"/>
  <c r="I109" i="14"/>
  <c r="F109" i="14"/>
  <c r="P108" i="14"/>
  <c r="K108" i="14"/>
  <c r="I108" i="14"/>
  <c r="F108" i="14"/>
  <c r="T108" i="14" s="1"/>
  <c r="U108" i="14" s="1"/>
  <c r="V108" i="14" s="1"/>
  <c r="P107" i="14"/>
  <c r="K107" i="14"/>
  <c r="I107" i="14"/>
  <c r="F107" i="14"/>
  <c r="Q107" i="14" s="1"/>
  <c r="R107" i="14" s="1"/>
  <c r="S107" i="14" s="1"/>
  <c r="P106" i="14"/>
  <c r="K106" i="14"/>
  <c r="I106" i="14"/>
  <c r="F106" i="14"/>
  <c r="T106" i="14" s="1"/>
  <c r="U106" i="14" s="1"/>
  <c r="V106" i="14" s="1"/>
  <c r="P105" i="14"/>
  <c r="K105" i="14"/>
  <c r="I105" i="14"/>
  <c r="F105" i="14"/>
  <c r="Q105" i="14" s="1"/>
  <c r="R105" i="14" s="1"/>
  <c r="S105" i="14" s="1"/>
  <c r="P104" i="14"/>
  <c r="K104" i="14"/>
  <c r="I104" i="14"/>
  <c r="F104" i="14"/>
  <c r="T104" i="14" s="1"/>
  <c r="U104" i="14" s="1"/>
  <c r="V104" i="14" s="1"/>
  <c r="P103" i="14"/>
  <c r="K103" i="14"/>
  <c r="I103" i="14"/>
  <c r="F103" i="14"/>
  <c r="Q103" i="14" s="1"/>
  <c r="R103" i="14" s="1"/>
  <c r="S103" i="14" s="1"/>
  <c r="P102" i="14"/>
  <c r="K102" i="14"/>
  <c r="I102" i="14"/>
  <c r="F102" i="14"/>
  <c r="T102" i="14" s="1"/>
  <c r="U102" i="14" s="1"/>
  <c r="V102" i="14" s="1"/>
  <c r="P101" i="14"/>
  <c r="K101" i="14"/>
  <c r="I101" i="14"/>
  <c r="F101" i="14"/>
  <c r="Q101" i="14" s="1"/>
  <c r="R101" i="14" s="1"/>
  <c r="S101" i="14" s="1"/>
  <c r="P100" i="14"/>
  <c r="K100" i="14"/>
  <c r="I100" i="14"/>
  <c r="F100" i="14"/>
  <c r="T100" i="14" s="1"/>
  <c r="U100" i="14" s="1"/>
  <c r="V100" i="14" s="1"/>
  <c r="P99" i="14"/>
  <c r="K99" i="14"/>
  <c r="I99" i="14"/>
  <c r="F99" i="14"/>
  <c r="Q99" i="14" s="1"/>
  <c r="R99" i="14" s="1"/>
  <c r="S99" i="14" s="1"/>
  <c r="P98" i="14"/>
  <c r="K98" i="14"/>
  <c r="I98" i="14"/>
  <c r="F98" i="14"/>
  <c r="T98" i="14" s="1"/>
  <c r="U98" i="14" s="1"/>
  <c r="V98" i="14" s="1"/>
  <c r="P96" i="14"/>
  <c r="K96" i="14"/>
  <c r="I96" i="14"/>
  <c r="F96" i="14"/>
  <c r="Q96" i="14" s="1"/>
  <c r="R96" i="14" s="1"/>
  <c r="S96" i="14" s="1"/>
  <c r="P95" i="14"/>
  <c r="K95" i="14"/>
  <c r="I95" i="14"/>
  <c r="F95" i="14"/>
  <c r="T95" i="14" s="1"/>
  <c r="U95" i="14" s="1"/>
  <c r="V95" i="14" s="1"/>
  <c r="K94" i="14"/>
  <c r="I94" i="14"/>
  <c r="F94" i="14"/>
  <c r="K93" i="14"/>
  <c r="I93" i="14"/>
  <c r="F93" i="14"/>
  <c r="P92" i="14"/>
  <c r="K92" i="14"/>
  <c r="I92" i="14"/>
  <c r="F92" i="14"/>
  <c r="T92" i="14" s="1"/>
  <c r="U92" i="14" s="1"/>
  <c r="V92" i="14" s="1"/>
  <c r="P91" i="14"/>
  <c r="K91" i="14"/>
  <c r="I91" i="14"/>
  <c r="F91" i="14"/>
  <c r="T91" i="14" s="1"/>
  <c r="U91" i="14" s="1"/>
  <c r="V91" i="14" s="1"/>
  <c r="P90" i="14"/>
  <c r="K90" i="14"/>
  <c r="I90" i="14"/>
  <c r="F90" i="14"/>
  <c r="Q90" i="14" s="1"/>
  <c r="R90" i="14" s="1"/>
  <c r="S90" i="14" s="1"/>
  <c r="K89" i="14"/>
  <c r="I89" i="14"/>
  <c r="F89" i="14"/>
  <c r="K88" i="14"/>
  <c r="I88" i="14"/>
  <c r="F88" i="14"/>
  <c r="P87" i="14"/>
  <c r="K87" i="14"/>
  <c r="I87" i="14"/>
  <c r="F87" i="14"/>
  <c r="T87" i="14" s="1"/>
  <c r="U87" i="14" s="1"/>
  <c r="V87" i="14" s="1"/>
  <c r="O86" i="14"/>
  <c r="O111" i="14" s="1"/>
  <c r="M86" i="14"/>
  <c r="K86" i="14"/>
  <c r="I86" i="14"/>
  <c r="F86" i="14"/>
  <c r="P85" i="14"/>
  <c r="K85" i="14"/>
  <c r="I85" i="14"/>
  <c r="F85" i="14"/>
  <c r="T85" i="14" s="1"/>
  <c r="U85" i="14" s="1"/>
  <c r="V85" i="14" s="1"/>
  <c r="M84" i="14"/>
  <c r="P84" i="14" s="1"/>
  <c r="K84" i="14"/>
  <c r="I84" i="14"/>
  <c r="F84" i="14"/>
  <c r="T84" i="14" s="1"/>
  <c r="U84" i="14" s="1"/>
  <c r="V84" i="14" s="1"/>
  <c r="P83" i="14"/>
  <c r="K83" i="14"/>
  <c r="I83" i="14"/>
  <c r="F83" i="14"/>
  <c r="T83" i="14" s="1"/>
  <c r="U83" i="14" s="1"/>
  <c r="V83" i="14" s="1"/>
  <c r="P82" i="14"/>
  <c r="K82" i="14"/>
  <c r="I82" i="14"/>
  <c r="F82" i="14"/>
  <c r="T82" i="14" s="1"/>
  <c r="U82" i="14" s="1"/>
  <c r="V82" i="14" s="1"/>
  <c r="P81" i="14"/>
  <c r="K81" i="14"/>
  <c r="I81" i="14"/>
  <c r="F81" i="14"/>
  <c r="Q81" i="14" s="1"/>
  <c r="R81" i="14" s="1"/>
  <c r="S81" i="14" s="1"/>
  <c r="P80" i="14"/>
  <c r="K80" i="14"/>
  <c r="I80" i="14"/>
  <c r="F80" i="14"/>
  <c r="T80" i="14" s="1"/>
  <c r="U80" i="14" s="1"/>
  <c r="V80" i="14" s="1"/>
  <c r="P79" i="14"/>
  <c r="K79" i="14"/>
  <c r="I79" i="14"/>
  <c r="F79" i="14"/>
  <c r="Q79" i="14" s="1"/>
  <c r="R79" i="14" s="1"/>
  <c r="S79" i="14" s="1"/>
  <c r="P77" i="14"/>
  <c r="K77" i="14"/>
  <c r="I77" i="14"/>
  <c r="F77" i="14"/>
  <c r="T77" i="14" s="1"/>
  <c r="U77" i="14" s="1"/>
  <c r="V77" i="14" s="1"/>
  <c r="P76" i="14"/>
  <c r="K76" i="14"/>
  <c r="I76" i="14"/>
  <c r="F76" i="14"/>
  <c r="T76" i="14" s="1"/>
  <c r="U76" i="14" s="1"/>
  <c r="V76" i="14" s="1"/>
  <c r="P75" i="14"/>
  <c r="K75" i="14"/>
  <c r="I75" i="14"/>
  <c r="F75" i="14"/>
  <c r="T75" i="14" s="1"/>
  <c r="U75" i="14" s="1"/>
  <c r="V75" i="14" s="1"/>
  <c r="P74" i="14"/>
  <c r="K74" i="14"/>
  <c r="I74" i="14"/>
  <c r="F74" i="14"/>
  <c r="T74" i="14" s="1"/>
  <c r="U74" i="14" s="1"/>
  <c r="V74" i="14" s="1"/>
  <c r="P73" i="14"/>
  <c r="K73" i="14"/>
  <c r="I73" i="14"/>
  <c r="F73" i="14"/>
  <c r="T73" i="14" s="1"/>
  <c r="U73" i="14" s="1"/>
  <c r="V73" i="14" s="1"/>
  <c r="P72" i="14"/>
  <c r="K72" i="14"/>
  <c r="I72" i="14"/>
  <c r="F72" i="14"/>
  <c r="T72" i="14" s="1"/>
  <c r="U72" i="14" s="1"/>
  <c r="V72" i="14" s="1"/>
  <c r="M71" i="14"/>
  <c r="P71" i="14" s="1"/>
  <c r="K71" i="14"/>
  <c r="I71" i="14"/>
  <c r="F71" i="14"/>
  <c r="T71" i="14" s="1"/>
  <c r="U71" i="14" s="1"/>
  <c r="V71" i="14" s="1"/>
  <c r="M70" i="14"/>
  <c r="K70" i="14"/>
  <c r="I70" i="14"/>
  <c r="F70" i="14"/>
  <c r="T70" i="14" s="1"/>
  <c r="U70" i="14" s="1"/>
  <c r="V70" i="14" s="1"/>
  <c r="P69" i="14"/>
  <c r="K69" i="14"/>
  <c r="I69" i="14"/>
  <c r="F69" i="14"/>
  <c r="Q69" i="14" s="1"/>
  <c r="R69" i="14" s="1"/>
  <c r="S69" i="14" s="1"/>
  <c r="P68" i="14"/>
  <c r="K68" i="14"/>
  <c r="I68" i="14"/>
  <c r="F68" i="14"/>
  <c r="Q68" i="14" s="1"/>
  <c r="R68" i="14" s="1"/>
  <c r="S68" i="14" s="1"/>
  <c r="P67" i="14"/>
  <c r="K67" i="14"/>
  <c r="I67" i="14"/>
  <c r="F67" i="14"/>
  <c r="T67" i="14" s="1"/>
  <c r="U67" i="14" s="1"/>
  <c r="V67" i="14" s="1"/>
  <c r="T65" i="14"/>
  <c r="U65" i="14" s="1"/>
  <c r="V65" i="14" s="1"/>
  <c r="Q65" i="14"/>
  <c r="R65" i="14" s="1"/>
  <c r="S65" i="14" s="1"/>
  <c r="P65" i="14"/>
  <c r="K65" i="14"/>
  <c r="I65" i="14"/>
  <c r="P64" i="14"/>
  <c r="K64" i="14"/>
  <c r="I64" i="14"/>
  <c r="F64" i="14"/>
  <c r="Q64" i="14" s="1"/>
  <c r="R64" i="14" s="1"/>
  <c r="S64" i="14" s="1"/>
  <c r="P63" i="14"/>
  <c r="K63" i="14"/>
  <c r="I63" i="14"/>
  <c r="F63" i="14"/>
  <c r="T63" i="14" s="1"/>
  <c r="U63" i="14" s="1"/>
  <c r="V63" i="14" s="1"/>
  <c r="P62" i="14"/>
  <c r="K62" i="14"/>
  <c r="I62" i="14"/>
  <c r="F62" i="14"/>
  <c r="T62" i="14" s="1"/>
  <c r="O58" i="14"/>
  <c r="N58" i="14"/>
  <c r="M58" i="14"/>
  <c r="L58" i="14"/>
  <c r="G58" i="14"/>
  <c r="K57" i="14"/>
  <c r="I57" i="14"/>
  <c r="F57" i="14"/>
  <c r="P56" i="14"/>
  <c r="K56" i="14"/>
  <c r="I56" i="14"/>
  <c r="F56" i="14"/>
  <c r="Q56" i="14" s="1"/>
  <c r="R56" i="14" s="1"/>
  <c r="S56" i="14" s="1"/>
  <c r="P55" i="14"/>
  <c r="K55" i="14"/>
  <c r="I55" i="14"/>
  <c r="F55" i="14"/>
  <c r="T55" i="14" s="1"/>
  <c r="U55" i="14" s="1"/>
  <c r="V55" i="14" s="1"/>
  <c r="K54" i="14"/>
  <c r="I54" i="14"/>
  <c r="F54" i="14"/>
  <c r="P53" i="14"/>
  <c r="K53" i="14"/>
  <c r="I53" i="14"/>
  <c r="F53" i="14"/>
  <c r="T53" i="14" s="1"/>
  <c r="U53" i="14" s="1"/>
  <c r="V53" i="14" s="1"/>
  <c r="K51" i="14"/>
  <c r="I51" i="14"/>
  <c r="T50" i="14"/>
  <c r="U50" i="14" s="1"/>
  <c r="V50" i="14" s="1"/>
  <c r="Q50" i="14"/>
  <c r="R50" i="14" s="1"/>
  <c r="S50" i="14" s="1"/>
  <c r="P50" i="14"/>
  <c r="K50" i="14"/>
  <c r="I50" i="14"/>
  <c r="T49" i="14"/>
  <c r="U49" i="14" s="1"/>
  <c r="V49" i="14" s="1"/>
  <c r="Q49" i="14"/>
  <c r="R49" i="14" s="1"/>
  <c r="S49" i="14" s="1"/>
  <c r="P49" i="14"/>
  <c r="K49" i="14"/>
  <c r="I49" i="14"/>
  <c r="T48" i="14"/>
  <c r="U48" i="14" s="1"/>
  <c r="V48" i="14" s="1"/>
  <c r="Q48" i="14"/>
  <c r="R48" i="14" s="1"/>
  <c r="S48" i="14" s="1"/>
  <c r="P48" i="14"/>
  <c r="K48" i="14"/>
  <c r="I48" i="14"/>
  <c r="T47" i="14"/>
  <c r="U47" i="14" s="1"/>
  <c r="V47" i="14" s="1"/>
  <c r="Q47" i="14"/>
  <c r="R47" i="14" s="1"/>
  <c r="S47" i="14" s="1"/>
  <c r="P47" i="14"/>
  <c r="K47" i="14"/>
  <c r="I47" i="14"/>
  <c r="T46" i="14"/>
  <c r="U46" i="14" s="1"/>
  <c r="V46" i="14" s="1"/>
  <c r="Q46" i="14"/>
  <c r="R46" i="14" s="1"/>
  <c r="S46" i="14" s="1"/>
  <c r="P46" i="14"/>
  <c r="K46" i="14"/>
  <c r="I46" i="14"/>
  <c r="T45" i="14"/>
  <c r="U45" i="14" s="1"/>
  <c r="V45" i="14" s="1"/>
  <c r="Q45" i="14"/>
  <c r="R45" i="14" s="1"/>
  <c r="S45" i="14" s="1"/>
  <c r="P45" i="14"/>
  <c r="K45" i="14"/>
  <c r="I45" i="14"/>
  <c r="K44" i="14"/>
  <c r="I44" i="14"/>
  <c r="K43" i="14"/>
  <c r="I43" i="14"/>
  <c r="T42" i="14"/>
  <c r="U42" i="14" s="1"/>
  <c r="V42" i="14" s="1"/>
  <c r="Q42" i="14"/>
  <c r="R42" i="14" s="1"/>
  <c r="S42" i="14" s="1"/>
  <c r="P42" i="14"/>
  <c r="K42" i="14"/>
  <c r="I42" i="14"/>
  <c r="K41" i="14"/>
  <c r="I41" i="14"/>
  <c r="T40" i="14"/>
  <c r="U40" i="14" s="1"/>
  <c r="V40" i="14" s="1"/>
  <c r="Q40" i="14"/>
  <c r="R40" i="14" s="1"/>
  <c r="S40" i="14" s="1"/>
  <c r="P40" i="14"/>
  <c r="K40" i="14"/>
  <c r="I40" i="14"/>
  <c r="K38" i="14"/>
  <c r="I38" i="14"/>
  <c r="T37" i="14"/>
  <c r="U37" i="14" s="1"/>
  <c r="V37" i="14" s="1"/>
  <c r="Q37" i="14"/>
  <c r="R37" i="14" s="1"/>
  <c r="S37" i="14" s="1"/>
  <c r="P37" i="14"/>
  <c r="K37" i="14"/>
  <c r="I37" i="14"/>
  <c r="K36" i="14"/>
  <c r="I36" i="14"/>
  <c r="K35" i="14"/>
  <c r="I35" i="14"/>
  <c r="T34" i="14"/>
  <c r="U34" i="14" s="1"/>
  <c r="V34" i="14" s="1"/>
  <c r="Q34" i="14"/>
  <c r="R34" i="14" s="1"/>
  <c r="S34" i="14" s="1"/>
  <c r="P34" i="14"/>
  <c r="K34" i="14"/>
  <c r="I34" i="14"/>
  <c r="K33" i="14"/>
  <c r="I33" i="14"/>
  <c r="K32" i="14"/>
  <c r="I32" i="14"/>
  <c r="T31" i="14"/>
  <c r="U31" i="14" s="1"/>
  <c r="V31" i="14" s="1"/>
  <c r="Q31" i="14"/>
  <c r="R31" i="14" s="1"/>
  <c r="S31" i="14" s="1"/>
  <c r="P31" i="14"/>
  <c r="K31" i="14"/>
  <c r="I31" i="14"/>
  <c r="K30" i="14"/>
  <c r="I30" i="14"/>
  <c r="K29" i="14"/>
  <c r="I29" i="14"/>
  <c r="T28" i="14"/>
  <c r="U28" i="14" s="1"/>
  <c r="Q28" i="14"/>
  <c r="R28" i="14" s="1"/>
  <c r="P28" i="14"/>
  <c r="K28" i="14"/>
  <c r="I28" i="14"/>
  <c r="K27" i="14"/>
  <c r="I27" i="14"/>
  <c r="T26" i="14"/>
  <c r="U26" i="14" s="1"/>
  <c r="V26" i="14" s="1"/>
  <c r="Q26" i="14"/>
  <c r="R26" i="14" s="1"/>
  <c r="S26" i="14" s="1"/>
  <c r="P26" i="14"/>
  <c r="K26" i="14"/>
  <c r="I26" i="14"/>
  <c r="K25" i="14"/>
  <c r="I25" i="14"/>
  <c r="T24" i="14"/>
  <c r="U24" i="14" s="1"/>
  <c r="V24" i="14" s="1"/>
  <c r="Q24" i="14"/>
  <c r="R24" i="14" s="1"/>
  <c r="S24" i="14" s="1"/>
  <c r="P24" i="14"/>
  <c r="K24" i="14"/>
  <c r="I24" i="14"/>
  <c r="P22" i="14"/>
  <c r="K22" i="14"/>
  <c r="I22" i="14"/>
  <c r="F22" i="14"/>
  <c r="Q22" i="14" s="1"/>
  <c r="R22" i="14" s="1"/>
  <c r="S22" i="14" s="1"/>
  <c r="P21" i="14"/>
  <c r="K21" i="14"/>
  <c r="I21" i="14"/>
  <c r="F21" i="14"/>
  <c r="T21" i="14" s="1"/>
  <c r="U21" i="14" s="1"/>
  <c r="V21" i="14" s="1"/>
  <c r="K20" i="14"/>
  <c r="I20" i="14"/>
  <c r="F20" i="14"/>
  <c r="P19" i="14"/>
  <c r="K19" i="14"/>
  <c r="I19" i="14"/>
  <c r="F19" i="14"/>
  <c r="Q19" i="14" s="1"/>
  <c r="R19" i="14" s="1"/>
  <c r="S19" i="14" s="1"/>
  <c r="K18" i="14"/>
  <c r="I18" i="14"/>
  <c r="F18" i="14"/>
  <c r="P17" i="14"/>
  <c r="K17" i="14"/>
  <c r="I17" i="14"/>
  <c r="F17" i="14"/>
  <c r="T17" i="14" s="1"/>
  <c r="U17" i="14" s="1"/>
  <c r="V17" i="14" s="1"/>
  <c r="K16" i="14"/>
  <c r="I16" i="14"/>
  <c r="F16" i="14"/>
  <c r="P15" i="14"/>
  <c r="K15" i="14"/>
  <c r="I15" i="14"/>
  <c r="F15" i="14"/>
  <c r="T15" i="14" s="1"/>
  <c r="U15" i="14" s="1"/>
  <c r="V15" i="14" s="1"/>
  <c r="K14" i="14"/>
  <c r="I14" i="14"/>
  <c r="F14" i="14"/>
  <c r="P13" i="14"/>
  <c r="K13" i="14"/>
  <c r="I13" i="14"/>
  <c r="F13" i="14"/>
  <c r="T13" i="14" s="1"/>
  <c r="O6" i="14"/>
  <c r="N6" i="14"/>
  <c r="M6" i="14"/>
  <c r="Q55" i="14"/>
  <c r="R55" i="14" s="1"/>
  <c r="S55" i="14" s="1"/>
  <c r="Q87" i="14"/>
  <c r="R87" i="14" s="1"/>
  <c r="S87" i="14" s="1"/>
  <c r="W87" i="14" s="1"/>
  <c r="Q95" i="14"/>
  <c r="R95" i="14" s="1"/>
  <c r="S95" i="14" s="1"/>
  <c r="W95" i="14" s="1"/>
  <c r="Q100" i="14"/>
  <c r="R100" i="14" s="1"/>
  <c r="S100" i="14" s="1"/>
  <c r="W100" i="14" s="1"/>
  <c r="E12" i="10"/>
  <c r="E16" i="10"/>
  <c r="E9" i="10"/>
  <c r="E24" i="10"/>
  <c r="P98" i="13"/>
  <c r="P69" i="13"/>
  <c r="P77" i="13"/>
  <c r="P72" i="13"/>
  <c r="P71" i="13"/>
  <c r="P70" i="13"/>
  <c r="P55" i="13"/>
  <c r="P46" i="13"/>
  <c r="P44" i="13"/>
  <c r="P59" i="13"/>
  <c r="P38" i="13"/>
  <c r="P35" i="13"/>
  <c r="P29" i="13"/>
  <c r="P27" i="13"/>
  <c r="P25" i="13"/>
  <c r="P22" i="13"/>
  <c r="P106" i="13"/>
  <c r="E29" i="10"/>
  <c r="K25" i="13"/>
  <c r="I25" i="13"/>
  <c r="U83" i="13"/>
  <c r="V83" i="13" s="1"/>
  <c r="P94" i="13"/>
  <c r="P102" i="13"/>
  <c r="P103" i="13"/>
  <c r="P104" i="13"/>
  <c r="P105" i="13"/>
  <c r="P109" i="13"/>
  <c r="P110" i="13"/>
  <c r="P111" i="13"/>
  <c r="P112" i="13"/>
  <c r="P88" i="13"/>
  <c r="P90" i="13"/>
  <c r="P91" i="13"/>
  <c r="P78" i="13"/>
  <c r="P79" i="13"/>
  <c r="P80" i="13"/>
  <c r="P81" i="13"/>
  <c r="P82" i="13"/>
  <c r="P83" i="13"/>
  <c r="P86" i="13"/>
  <c r="Q83" i="13"/>
  <c r="R83" i="13" s="1"/>
  <c r="S83" i="13" s="1"/>
  <c r="P49" i="13"/>
  <c r="P54" i="13"/>
  <c r="P53" i="13"/>
  <c r="P50" i="13"/>
  <c r="P21" i="13"/>
  <c r="O65" i="13"/>
  <c r="N65" i="13"/>
  <c r="M65" i="13"/>
  <c r="L65" i="13"/>
  <c r="F18" i="3"/>
  <c r="F16" i="3"/>
  <c r="F14" i="3"/>
  <c r="F10" i="3"/>
  <c r="F12" i="3"/>
  <c r="J41" i="1"/>
  <c r="E28" i="10"/>
  <c r="E25" i="10"/>
  <c r="E23" i="10"/>
  <c r="E22" i="10"/>
  <c r="E21" i="10"/>
  <c r="E20" i="10"/>
  <c r="E19" i="10"/>
  <c r="E18" i="10"/>
  <c r="E17" i="10"/>
  <c r="E15" i="10"/>
  <c r="E14" i="10"/>
  <c r="E13" i="10"/>
  <c r="E11" i="10"/>
  <c r="E10" i="10"/>
  <c r="J35" i="1"/>
  <c r="P108" i="13"/>
  <c r="T22" i="14" l="1"/>
  <c r="U22" i="14" s="1"/>
  <c r="V22" i="14" s="1"/>
  <c r="F19" i="3"/>
  <c r="J43" i="1"/>
  <c r="P121" i="13"/>
  <c r="G124" i="13"/>
  <c r="I121" i="13"/>
  <c r="T113" i="13"/>
  <c r="Q113" i="13"/>
  <c r="R113" i="13" s="1"/>
  <c r="S113" i="13" s="1"/>
  <c r="G66" i="13"/>
  <c r="I65" i="13"/>
  <c r="K121" i="13"/>
  <c r="G122" i="13"/>
  <c r="K65" i="13"/>
  <c r="Q82" i="14"/>
  <c r="R82" i="14" s="1"/>
  <c r="S82" i="14" s="1"/>
  <c r="W82" i="14" s="1"/>
  <c r="Q76" i="14"/>
  <c r="R76" i="14" s="1"/>
  <c r="S76" i="14" s="1"/>
  <c r="W76" i="14" s="1"/>
  <c r="Q98" i="14"/>
  <c r="R98" i="14" s="1"/>
  <c r="S98" i="14" s="1"/>
  <c r="W98" i="14" s="1"/>
  <c r="Q80" i="14"/>
  <c r="R80" i="14" s="1"/>
  <c r="S80" i="14" s="1"/>
  <c r="W80" i="14" s="1"/>
  <c r="Q104" i="14"/>
  <c r="R104" i="14" s="1"/>
  <c r="S104" i="14" s="1"/>
  <c r="Q21" i="14"/>
  <c r="R21" i="14" s="1"/>
  <c r="S21" i="14" s="1"/>
  <c r="W21" i="14" s="1"/>
  <c r="Q82" i="13"/>
  <c r="R82" i="13" s="1"/>
  <c r="S82" i="13" s="1"/>
  <c r="T82" i="13"/>
  <c r="U82" i="13" s="1"/>
  <c r="V82" i="13" s="1"/>
  <c r="T78" i="13"/>
  <c r="U78" i="13" s="1"/>
  <c r="V78" i="13" s="1"/>
  <c r="Q112" i="13"/>
  <c r="R112" i="13" s="1"/>
  <c r="S112" i="13" s="1"/>
  <c r="T112" i="13"/>
  <c r="U112" i="13" s="1"/>
  <c r="V112" i="13" s="1"/>
  <c r="Q77" i="13"/>
  <c r="R77" i="13" s="1"/>
  <c r="S77" i="13" s="1"/>
  <c r="T77" i="13"/>
  <c r="U77" i="13" s="1"/>
  <c r="V77" i="13" s="1"/>
  <c r="Q53" i="14"/>
  <c r="R53" i="14" s="1"/>
  <c r="S53" i="14" s="1"/>
  <c r="T95" i="13"/>
  <c r="U95" i="13" s="1"/>
  <c r="V95" i="13" s="1"/>
  <c r="Q95" i="13"/>
  <c r="R95" i="13" s="1"/>
  <c r="S95" i="13" s="1"/>
  <c r="Q80" i="13"/>
  <c r="R80" i="13" s="1"/>
  <c r="S80" i="13" s="1"/>
  <c r="T80" i="13"/>
  <c r="U80" i="13" s="1"/>
  <c r="V80" i="13" s="1"/>
  <c r="Q69" i="13"/>
  <c r="R69" i="13" s="1"/>
  <c r="S69" i="13" s="1"/>
  <c r="U113" i="13"/>
  <c r="V113" i="13" s="1"/>
  <c r="Q79" i="13"/>
  <c r="R79" i="13" s="1"/>
  <c r="S79" i="13" s="1"/>
  <c r="T79" i="13"/>
  <c r="U79" i="13" s="1"/>
  <c r="V79" i="13" s="1"/>
  <c r="W83" i="13"/>
  <c r="Q78" i="13"/>
  <c r="R78" i="13" s="1"/>
  <c r="S78" i="13" s="1"/>
  <c r="T63" i="13"/>
  <c r="U63" i="13" s="1"/>
  <c r="V63" i="13" s="1"/>
  <c r="Q63" i="13"/>
  <c r="R63" i="13" s="1"/>
  <c r="S63" i="13" s="1"/>
  <c r="U46" i="13"/>
  <c r="V46" i="13" s="1"/>
  <c r="Q73" i="14"/>
  <c r="R73" i="14" s="1"/>
  <c r="S73" i="14" s="1"/>
  <c r="W73" i="14" s="1"/>
  <c r="Q91" i="14"/>
  <c r="R91" i="14" s="1"/>
  <c r="S91" i="14" s="1"/>
  <c r="W91" i="14" s="1"/>
  <c r="L123" i="13"/>
  <c r="T109" i="14"/>
  <c r="U109" i="14" s="1"/>
  <c r="V109" i="14" s="1"/>
  <c r="W109" i="14" s="1"/>
  <c r="Q70" i="14"/>
  <c r="R70" i="14" s="1"/>
  <c r="S70" i="14" s="1"/>
  <c r="O113" i="14"/>
  <c r="Q72" i="14"/>
  <c r="R72" i="14" s="1"/>
  <c r="S72" i="14" s="1"/>
  <c r="W72" i="14" s="1"/>
  <c r="T103" i="13"/>
  <c r="U103" i="13" s="1"/>
  <c r="V103" i="13" s="1"/>
  <c r="W103" i="13" s="1"/>
  <c r="T86" i="13"/>
  <c r="U86" i="13" s="1"/>
  <c r="V86" i="13" s="1"/>
  <c r="W86" i="13" s="1"/>
  <c r="T40" i="13"/>
  <c r="U40" i="13" s="1"/>
  <c r="V40" i="13" s="1"/>
  <c r="W40" i="13" s="1"/>
  <c r="W55" i="14"/>
  <c r="T19" i="14"/>
  <c r="U19" i="14" s="1"/>
  <c r="V19" i="14" s="1"/>
  <c r="W19" i="14" s="1"/>
  <c r="W22" i="14"/>
  <c r="T69" i="13"/>
  <c r="U69" i="13" s="1"/>
  <c r="V69" i="13" s="1"/>
  <c r="Q84" i="14"/>
  <c r="R84" i="14" s="1"/>
  <c r="S84" i="14" s="1"/>
  <c r="W84" i="14" s="1"/>
  <c r="P70" i="14"/>
  <c r="N113" i="14"/>
  <c r="Q62" i="14"/>
  <c r="R62" i="14" s="1"/>
  <c r="S62" i="14" s="1"/>
  <c r="Q85" i="14"/>
  <c r="R85" i="14" s="1"/>
  <c r="S85" i="14" s="1"/>
  <c r="W85" i="14" s="1"/>
  <c r="Q77" i="14"/>
  <c r="R77" i="14" s="1"/>
  <c r="S77" i="14" s="1"/>
  <c r="W77" i="14" s="1"/>
  <c r="Q63" i="14"/>
  <c r="R63" i="14" s="1"/>
  <c r="S63" i="14" s="1"/>
  <c r="W63" i="14" s="1"/>
  <c r="Q75" i="14"/>
  <c r="R75" i="14" s="1"/>
  <c r="S75" i="14" s="1"/>
  <c r="W75" i="14" s="1"/>
  <c r="P58" i="14"/>
  <c r="Q15" i="14"/>
  <c r="R15" i="14" s="1"/>
  <c r="S15" i="14" s="1"/>
  <c r="W15" i="14" s="1"/>
  <c r="Q17" i="14"/>
  <c r="R17" i="14" s="1"/>
  <c r="S17" i="14" s="1"/>
  <c r="W48" i="14"/>
  <c r="Q35" i="13"/>
  <c r="R35" i="13" s="1"/>
  <c r="S35" i="13" s="1"/>
  <c r="W35" i="13" s="1"/>
  <c r="T109" i="13"/>
  <c r="U109" i="13" s="1"/>
  <c r="V109" i="13" s="1"/>
  <c r="W109" i="13" s="1"/>
  <c r="Q104" i="13"/>
  <c r="R104" i="13" s="1"/>
  <c r="S104" i="13" s="1"/>
  <c r="W104" i="13" s="1"/>
  <c r="T56" i="14"/>
  <c r="U56" i="14" s="1"/>
  <c r="V56" i="14" s="1"/>
  <c r="W56" i="14" s="1"/>
  <c r="G114" i="14"/>
  <c r="W47" i="14"/>
  <c r="T64" i="14"/>
  <c r="U64" i="14" s="1"/>
  <c r="V64" i="14" s="1"/>
  <c r="W64" i="14" s="1"/>
  <c r="T79" i="14"/>
  <c r="U79" i="14" s="1"/>
  <c r="V79" i="14" s="1"/>
  <c r="W79" i="14" s="1"/>
  <c r="Q83" i="14"/>
  <c r="R83" i="14" s="1"/>
  <c r="S83" i="14" s="1"/>
  <c r="W83" i="14" s="1"/>
  <c r="T96" i="14"/>
  <c r="U96" i="14" s="1"/>
  <c r="V96" i="14" s="1"/>
  <c r="W96" i="14" s="1"/>
  <c r="L113" i="14"/>
  <c r="T81" i="14"/>
  <c r="U81" i="14" s="1"/>
  <c r="V81" i="14" s="1"/>
  <c r="W81" i="14" s="1"/>
  <c r="T89" i="13"/>
  <c r="U89" i="13" s="1"/>
  <c r="V89" i="13" s="1"/>
  <c r="W89" i="13" s="1"/>
  <c r="Q108" i="14"/>
  <c r="R108" i="14" s="1"/>
  <c r="S108" i="14" s="1"/>
  <c r="W108" i="14" s="1"/>
  <c r="Q106" i="14"/>
  <c r="R106" i="14" s="1"/>
  <c r="S106" i="14" s="1"/>
  <c r="W106" i="14" s="1"/>
  <c r="W65" i="14"/>
  <c r="W70" i="14"/>
  <c r="P86" i="14"/>
  <c r="T101" i="14"/>
  <c r="U101" i="14" s="1"/>
  <c r="V101" i="14" s="1"/>
  <c r="W101" i="14" s="1"/>
  <c r="W40" i="14"/>
  <c r="T55" i="13"/>
  <c r="U55" i="13" s="1"/>
  <c r="V55" i="13" s="1"/>
  <c r="W55" i="13" s="1"/>
  <c r="W24" i="14"/>
  <c r="W49" i="14"/>
  <c r="Q71" i="14"/>
  <c r="R71" i="14" s="1"/>
  <c r="S71" i="14" s="1"/>
  <c r="W71" i="14" s="1"/>
  <c r="Q74" i="14"/>
  <c r="R74" i="14" s="1"/>
  <c r="S74" i="14" s="1"/>
  <c r="W74" i="14" s="1"/>
  <c r="T105" i="14"/>
  <c r="U105" i="14" s="1"/>
  <c r="V105" i="14" s="1"/>
  <c r="W105" i="14" s="1"/>
  <c r="T70" i="13"/>
  <c r="U70" i="13" s="1"/>
  <c r="V70" i="13" s="1"/>
  <c r="Q111" i="13"/>
  <c r="R111" i="13" s="1"/>
  <c r="S111" i="13" s="1"/>
  <c r="Q91" i="13"/>
  <c r="R91" i="13" s="1"/>
  <c r="S91" i="13" s="1"/>
  <c r="R16" i="13"/>
  <c r="S16" i="13" s="1"/>
  <c r="R54" i="13"/>
  <c r="S54" i="13" s="1"/>
  <c r="T94" i="13"/>
  <c r="U94" i="13" s="1"/>
  <c r="V94" i="13" s="1"/>
  <c r="R94" i="13"/>
  <c r="S94" i="13" s="1"/>
  <c r="T102" i="13"/>
  <c r="U102" i="13" s="1"/>
  <c r="V102" i="13" s="1"/>
  <c r="Q102" i="13"/>
  <c r="R102" i="13" s="1"/>
  <c r="S102" i="13" s="1"/>
  <c r="R93" i="13"/>
  <c r="S93" i="13" s="1"/>
  <c r="T92" i="13"/>
  <c r="U92" i="13" s="1"/>
  <c r="V92" i="13" s="1"/>
  <c r="Q92" i="13"/>
  <c r="R92" i="13" s="1"/>
  <c r="S92" i="13" s="1"/>
  <c r="P65" i="13"/>
  <c r="T14" i="13"/>
  <c r="U14" i="13" s="1"/>
  <c r="V14" i="13" s="1"/>
  <c r="Q14" i="13"/>
  <c r="R14" i="13" s="1"/>
  <c r="S14" i="13" s="1"/>
  <c r="T98" i="13"/>
  <c r="U98" i="13" s="1"/>
  <c r="V98" i="13" s="1"/>
  <c r="W17" i="14"/>
  <c r="W26" i="14"/>
  <c r="V28" i="14"/>
  <c r="U6" i="14"/>
  <c r="W46" i="14"/>
  <c r="R6" i="14"/>
  <c r="S28" i="14"/>
  <c r="U13" i="14"/>
  <c r="W31" i="14"/>
  <c r="W45" i="14"/>
  <c r="W34" i="14"/>
  <c r="U62" i="14"/>
  <c r="W53" i="14"/>
  <c r="W104" i="14"/>
  <c r="W37" i="14"/>
  <c r="W42" i="14"/>
  <c r="W50" i="14"/>
  <c r="G112" i="14"/>
  <c r="G59" i="14"/>
  <c r="T69" i="14"/>
  <c r="U69" i="14" s="1"/>
  <c r="V69" i="14" s="1"/>
  <c r="W69" i="14" s="1"/>
  <c r="Q92" i="14"/>
  <c r="R92" i="14" s="1"/>
  <c r="S92" i="14" s="1"/>
  <c r="W92" i="14" s="1"/>
  <c r="T99" i="14"/>
  <c r="U99" i="14" s="1"/>
  <c r="V99" i="14" s="1"/>
  <c r="W99" i="14" s="1"/>
  <c r="T107" i="14"/>
  <c r="U107" i="14" s="1"/>
  <c r="V107" i="14" s="1"/>
  <c r="W107" i="14" s="1"/>
  <c r="T108" i="13"/>
  <c r="U108" i="13" s="1"/>
  <c r="V108" i="13" s="1"/>
  <c r="W108" i="13" s="1"/>
  <c r="Q86" i="14"/>
  <c r="R86" i="14" s="1"/>
  <c r="S86" i="14" s="1"/>
  <c r="Q88" i="13"/>
  <c r="R88" i="13" s="1"/>
  <c r="S88" i="13" s="1"/>
  <c r="W88" i="13" s="1"/>
  <c r="Q67" i="14"/>
  <c r="R67" i="14" s="1"/>
  <c r="S67" i="14" s="1"/>
  <c r="W67" i="14" s="1"/>
  <c r="T86" i="14"/>
  <c r="U86" i="14" s="1"/>
  <c r="V86" i="14" s="1"/>
  <c r="T103" i="14"/>
  <c r="U103" i="14" s="1"/>
  <c r="V103" i="14" s="1"/>
  <c r="W103" i="14" s="1"/>
  <c r="M111" i="14"/>
  <c r="M113" i="14" s="1"/>
  <c r="T68" i="14"/>
  <c r="U68" i="14" s="1"/>
  <c r="V68" i="14" s="1"/>
  <c r="W68" i="14" s="1"/>
  <c r="T90" i="14"/>
  <c r="U90" i="14" s="1"/>
  <c r="V90" i="14" s="1"/>
  <c r="W90" i="14" s="1"/>
  <c r="Q13" i="14"/>
  <c r="Q102" i="14"/>
  <c r="R102" i="14" s="1"/>
  <c r="S102" i="14" s="1"/>
  <c r="W102" i="14" s="1"/>
  <c r="M123" i="13"/>
  <c r="O123" i="13"/>
  <c r="N123" i="13"/>
  <c r="T61" i="13"/>
  <c r="U61" i="13" s="1"/>
  <c r="V61" i="13" s="1"/>
  <c r="W61" i="13" s="1"/>
  <c r="T111" i="13"/>
  <c r="U111" i="13" s="1"/>
  <c r="V111" i="13" s="1"/>
  <c r="T91" i="13"/>
  <c r="U91" i="13" s="1"/>
  <c r="V91" i="13" s="1"/>
  <c r="Q107" i="13"/>
  <c r="R107" i="13" s="1"/>
  <c r="S107" i="13" s="1"/>
  <c r="W107" i="13" s="1"/>
  <c r="T54" i="13"/>
  <c r="U54" i="13" s="1"/>
  <c r="V54" i="13" s="1"/>
  <c r="T105" i="13"/>
  <c r="U105" i="13" s="1"/>
  <c r="V105" i="13" s="1"/>
  <c r="W105" i="13" s="1"/>
  <c r="Q110" i="13"/>
  <c r="R110" i="13" s="1"/>
  <c r="S110" i="13" s="1"/>
  <c r="W110" i="13" s="1"/>
  <c r="Q81" i="13"/>
  <c r="R81" i="13" s="1"/>
  <c r="S81" i="13" s="1"/>
  <c r="W81" i="13" s="1"/>
  <c r="T106" i="13"/>
  <c r="U106" i="13" s="1"/>
  <c r="V106" i="13" s="1"/>
  <c r="W106" i="13" s="1"/>
  <c r="T93" i="13"/>
  <c r="U93" i="13" s="1"/>
  <c r="V93" i="13" s="1"/>
  <c r="Q18" i="13"/>
  <c r="Q73" i="13"/>
  <c r="R73" i="13" s="1"/>
  <c r="S73" i="13" s="1"/>
  <c r="W73" i="13" s="1"/>
  <c r="Q72" i="13"/>
  <c r="R72" i="13" s="1"/>
  <c r="S72" i="13" s="1"/>
  <c r="W72" i="13" s="1"/>
  <c r="Q27" i="13"/>
  <c r="R27" i="13" s="1"/>
  <c r="S27" i="13" s="1"/>
  <c r="W27" i="13" s="1"/>
  <c r="T22" i="13"/>
  <c r="U22" i="13" s="1"/>
  <c r="V22" i="13" s="1"/>
  <c r="W22" i="13" s="1"/>
  <c r="T49" i="13"/>
  <c r="Q50" i="13"/>
  <c r="R50" i="13" s="1"/>
  <c r="S50" i="13" s="1"/>
  <c r="W50" i="13" s="1"/>
  <c r="T16" i="13"/>
  <c r="U16" i="13" s="1"/>
  <c r="V16" i="13" s="1"/>
  <c r="W41" i="13"/>
  <c r="T38" i="13"/>
  <c r="U38" i="13" s="1"/>
  <c r="V38" i="13" s="1"/>
  <c r="W38" i="13" s="1"/>
  <c r="Q29" i="13"/>
  <c r="R29" i="13" s="1"/>
  <c r="S29" i="13" s="1"/>
  <c r="T25" i="13"/>
  <c r="U25" i="13" s="1"/>
  <c r="V25" i="13" s="1"/>
  <c r="W25" i="13" s="1"/>
  <c r="Q90" i="13"/>
  <c r="R90" i="13" s="1"/>
  <c r="S90" i="13" s="1"/>
  <c r="W90" i="13" s="1"/>
  <c r="U71" i="13"/>
  <c r="V71" i="13" s="1"/>
  <c r="S70" i="13"/>
  <c r="Q71" i="13"/>
  <c r="T59" i="13"/>
  <c r="U59" i="13" s="1"/>
  <c r="V59" i="13" s="1"/>
  <c r="Q59" i="13"/>
  <c r="R59" i="13" s="1"/>
  <c r="S59" i="13" s="1"/>
  <c r="T44" i="13"/>
  <c r="U44" i="13" s="1"/>
  <c r="V44" i="13" s="1"/>
  <c r="W44" i="13" s="1"/>
  <c r="Q53" i="13"/>
  <c r="R53" i="13" s="1"/>
  <c r="S53" i="13" s="1"/>
  <c r="W53" i="13" s="1"/>
  <c r="Q46" i="13"/>
  <c r="R46" i="13" s="1"/>
  <c r="S46" i="13" s="1"/>
  <c r="V29" i="13"/>
  <c r="Q21" i="13"/>
  <c r="R21" i="13" s="1"/>
  <c r="S21" i="13" s="1"/>
  <c r="W21" i="13" s="1"/>
  <c r="T20" i="13"/>
  <c r="U20" i="13" s="1"/>
  <c r="V20" i="13" s="1"/>
  <c r="W20" i="13" s="1"/>
  <c r="W69" i="13" l="1"/>
  <c r="P123" i="13"/>
  <c r="W95" i="13"/>
  <c r="W82" i="13"/>
  <c r="W77" i="13"/>
  <c r="W79" i="13"/>
  <c r="W80" i="13"/>
  <c r="W113" i="13"/>
  <c r="W78" i="13"/>
  <c r="W63" i="13"/>
  <c r="W46" i="13"/>
  <c r="U49" i="13"/>
  <c r="V49" i="13" s="1"/>
  <c r="W49" i="13" s="1"/>
  <c r="W59" i="13"/>
  <c r="P111" i="14"/>
  <c r="P113" i="14" s="1"/>
  <c r="T58" i="14"/>
  <c r="W102" i="13"/>
  <c r="W28" i="14"/>
  <c r="W14" i="13"/>
  <c r="W98" i="13"/>
  <c r="W94" i="13"/>
  <c r="W111" i="13"/>
  <c r="R18" i="13"/>
  <c r="S18" i="13" s="1"/>
  <c r="W92" i="13"/>
  <c r="W54" i="13"/>
  <c r="W112" i="13"/>
  <c r="W93" i="13"/>
  <c r="W91" i="13"/>
  <c r="W16" i="13"/>
  <c r="U58" i="14"/>
  <c r="V13" i="14"/>
  <c r="V58" i="14" s="1"/>
  <c r="Q58" i="14"/>
  <c r="R13" i="14"/>
  <c r="W86" i="14"/>
  <c r="T111" i="14"/>
  <c r="Q111" i="14"/>
  <c r="U111" i="14"/>
  <c r="V62" i="14"/>
  <c r="V111" i="14" s="1"/>
  <c r="S111" i="14"/>
  <c r="R111" i="14"/>
  <c r="T121" i="13"/>
  <c r="W29" i="13"/>
  <c r="T65" i="13"/>
  <c r="Q65" i="13"/>
  <c r="W70" i="13"/>
  <c r="V121" i="13"/>
  <c r="R71" i="13"/>
  <c r="Q121" i="13"/>
  <c r="U121" i="13"/>
  <c r="Q113" i="14" l="1"/>
  <c r="T113" i="14"/>
  <c r="U65" i="13"/>
  <c r="Q123" i="13"/>
  <c r="U113" i="14"/>
  <c r="W62" i="14"/>
  <c r="W111" i="14" s="1"/>
  <c r="W18" i="13"/>
  <c r="W65" i="13" s="1"/>
  <c r="S65" i="13"/>
  <c r="R65" i="13"/>
  <c r="R58" i="14"/>
  <c r="R113" i="14" s="1"/>
  <c r="S13" i="14"/>
  <c r="V113" i="14"/>
  <c r="T123" i="13"/>
  <c r="S71" i="13"/>
  <c r="S121" i="13" s="1"/>
  <c r="R121" i="13"/>
  <c r="U123" i="13"/>
  <c r="V65" i="13"/>
  <c r="V123" i="13" s="1"/>
  <c r="S123" i="13" l="1"/>
  <c r="R123" i="13"/>
  <c r="S58" i="14"/>
  <c r="S113" i="14" s="1"/>
  <c r="W13" i="14"/>
  <c r="W58" i="14" s="1"/>
  <c r="W113" i="14" s="1"/>
  <c r="W71" i="13"/>
  <c r="W121" i="13" s="1"/>
  <c r="W123" i="13" s="1"/>
</calcChain>
</file>

<file path=xl/sharedStrings.xml><?xml version="1.0" encoding="utf-8"?>
<sst xmlns="http://schemas.openxmlformats.org/spreadsheetml/2006/main" count="1042" uniqueCount="863">
  <si>
    <t>Plan de Beneficios Flexibles</t>
  </si>
  <si>
    <t>Fecha de inicio del proyecto</t>
  </si>
  <si>
    <t>Fecha de finalización del proyecto</t>
  </si>
  <si>
    <t>GRAN TOTAL</t>
  </si>
  <si>
    <t>Con recursos propios</t>
  </si>
  <si>
    <t>Con ingresos adicionales de derechos pecuniarios</t>
  </si>
  <si>
    <t>Con créditos nuevos</t>
  </si>
  <si>
    <t>Tipo de proyectos</t>
  </si>
  <si>
    <t>x</t>
  </si>
  <si>
    <t>GASTOS DE PERSONAL</t>
  </si>
  <si>
    <t>HONORARIOS</t>
  </si>
  <si>
    <t>IMPUESTOS</t>
  </si>
  <si>
    <t>ARRENDAMIENTOS</t>
  </si>
  <si>
    <t>CONTRIBUCIONES Y AFILIACIONES</t>
  </si>
  <si>
    <t>SEGUROS</t>
  </si>
  <si>
    <t>SERVICIOS</t>
  </si>
  <si>
    <t>GASTOS LEGALES</t>
  </si>
  <si>
    <t>MANTENIMIENTO Y REPARACIONES</t>
  </si>
  <si>
    <t>GASTOS DE VIAJE</t>
  </si>
  <si>
    <t>DEPRECIACIONES</t>
  </si>
  <si>
    <t>DIVERSOS</t>
  </si>
  <si>
    <t>PROVISIONES</t>
  </si>
  <si>
    <t>GASTOS FINANCIEROS</t>
  </si>
  <si>
    <t>PROGRAMA</t>
  </si>
  <si>
    <t>% Incremento</t>
  </si>
  <si>
    <t>Total general</t>
  </si>
  <si>
    <t>Equipo de oficina</t>
  </si>
  <si>
    <t>Programa de Formación Doctoral de profesores</t>
  </si>
  <si>
    <t>TIPO</t>
  </si>
  <si>
    <t>CLASE</t>
  </si>
  <si>
    <t>DESC. CLASE</t>
  </si>
  <si>
    <t>RUBRO</t>
  </si>
  <si>
    <t>DESCRIPCION_CUENTA</t>
  </si>
  <si>
    <t>4</t>
  </si>
  <si>
    <t>4160</t>
  </si>
  <si>
    <t>ACTIVIDADES CONEXAS A LA EDUCACIÓN</t>
  </si>
  <si>
    <t>41600505</t>
  </si>
  <si>
    <t>Matriculas posgrado segundo</t>
  </si>
  <si>
    <t>41600596</t>
  </si>
  <si>
    <t>Matriculas pregrado primer</t>
  </si>
  <si>
    <t>41600598</t>
  </si>
  <si>
    <t>Matriculas pregrado segundo</t>
  </si>
  <si>
    <t>41600599</t>
  </si>
  <si>
    <t>Matriculas posgrado primer</t>
  </si>
  <si>
    <t>41600601</t>
  </si>
  <si>
    <t>41600703</t>
  </si>
  <si>
    <t>Consultorias y Asesorias</t>
  </si>
  <si>
    <t>4160950203</t>
  </si>
  <si>
    <t>Tienda Javeriana</t>
  </si>
  <si>
    <t>4160950207</t>
  </si>
  <si>
    <t>Ingresos concesion</t>
  </si>
  <si>
    <t>4160950401</t>
  </si>
  <si>
    <t>Inscripciones</t>
  </si>
  <si>
    <t>4160950403</t>
  </si>
  <si>
    <t>Carnetizacion</t>
  </si>
  <si>
    <t>4160950404</t>
  </si>
  <si>
    <t>Derechos de grado y diplomas</t>
  </si>
  <si>
    <t>4160950405</t>
  </si>
  <si>
    <t>Certificados y Constancias</t>
  </si>
  <si>
    <t>4160950406</t>
  </si>
  <si>
    <t>Derechos de secretaria</t>
  </si>
  <si>
    <t>4160950409</t>
  </si>
  <si>
    <t>Publicidad y propaganda</t>
  </si>
  <si>
    <t>4160950412</t>
  </si>
  <si>
    <t>Multas</t>
  </si>
  <si>
    <t>Total ACTIVIDADES CONEXAS A LA EDUCACIÓN</t>
  </si>
  <si>
    <t>4210</t>
  </si>
  <si>
    <t>INGRESOS FINANCIEROS</t>
  </si>
  <si>
    <t>4210050101</t>
  </si>
  <si>
    <t>Intereses Corto plazo</t>
  </si>
  <si>
    <t>4210050103</t>
  </si>
  <si>
    <t>Inter_ cartera institucional</t>
  </si>
  <si>
    <t>4210050204</t>
  </si>
  <si>
    <t>Intereses prestamos PUJ</t>
  </si>
  <si>
    <t>Diferencia en cambio</t>
  </si>
  <si>
    <t>Total INGRESOS FINANCIEROS</t>
  </si>
  <si>
    <t>42201001</t>
  </si>
  <si>
    <t>Construcciones y edificios</t>
  </si>
  <si>
    <t>Total ARRENDAMIENTOS</t>
  </si>
  <si>
    <t>RECUPERACIONES</t>
  </si>
  <si>
    <t>Cartera corto plazo</t>
  </si>
  <si>
    <t>Cartera largo plazo</t>
  </si>
  <si>
    <t>Cartera institucional</t>
  </si>
  <si>
    <t>42505001</t>
  </si>
  <si>
    <t>Reintegro otros costos y gasto</t>
  </si>
  <si>
    <t>Total RECUPERACIONES</t>
  </si>
  <si>
    <t>DONACIONES</t>
  </si>
  <si>
    <t>42950501</t>
  </si>
  <si>
    <t>Aprovechamientos</t>
  </si>
  <si>
    <t>Total DONACIONES</t>
  </si>
  <si>
    <t>42550501</t>
  </si>
  <si>
    <t>Por siniestros</t>
  </si>
  <si>
    <t>Total 4</t>
  </si>
  <si>
    <t>5</t>
  </si>
  <si>
    <t>5105</t>
  </si>
  <si>
    <t>510505</t>
  </si>
  <si>
    <t>Prestaciones Sociales</t>
  </si>
  <si>
    <t>51050602</t>
  </si>
  <si>
    <t>Sueldos de Hora Catedra</t>
  </si>
  <si>
    <t>51051501</t>
  </si>
  <si>
    <t>Horas extras y recargos</t>
  </si>
  <si>
    <t>51052701</t>
  </si>
  <si>
    <t>Auxilio de transporte</t>
  </si>
  <si>
    <t>51054501</t>
  </si>
  <si>
    <t>Funerarios</t>
  </si>
  <si>
    <t>51054502</t>
  </si>
  <si>
    <t>Auxilio primaria</t>
  </si>
  <si>
    <t>51054505</t>
  </si>
  <si>
    <t>Auxilio de educacion</t>
  </si>
  <si>
    <t>51054801</t>
  </si>
  <si>
    <t>Bonificaciones</t>
  </si>
  <si>
    <t>51055101</t>
  </si>
  <si>
    <t>Dotaciones y sumin_ Trabajador</t>
  </si>
  <si>
    <t>51056301</t>
  </si>
  <si>
    <t>Prog_Formación_Prof_Javeriano</t>
  </si>
  <si>
    <t>51056302</t>
  </si>
  <si>
    <t>Prog_Formación_Empleados</t>
  </si>
  <si>
    <t>51056601</t>
  </si>
  <si>
    <t>Gastos deportivos y recreacion</t>
  </si>
  <si>
    <t>51058401</t>
  </si>
  <si>
    <t>Gastos medicos y drogas</t>
  </si>
  <si>
    <t>510594</t>
  </si>
  <si>
    <t>Salario Planta</t>
  </si>
  <si>
    <t>5105950101</t>
  </si>
  <si>
    <t>Apoyo sostenimiento Sena</t>
  </si>
  <si>
    <t>5105950201</t>
  </si>
  <si>
    <t>Celebraciones y obseq_Personal</t>
  </si>
  <si>
    <t>Total GASTOS DE PERSONAL</t>
  </si>
  <si>
    <t>5110</t>
  </si>
  <si>
    <t>51102001</t>
  </si>
  <si>
    <t>Avaluos</t>
  </si>
  <si>
    <t>51102501</t>
  </si>
  <si>
    <t>Asesoria juridica</t>
  </si>
  <si>
    <t>51103501</t>
  </si>
  <si>
    <t>Pagos nacionales</t>
  </si>
  <si>
    <t>511085</t>
  </si>
  <si>
    <t>Monitores</t>
  </si>
  <si>
    <t>5110950201</t>
  </si>
  <si>
    <t>Auditoria Interna</t>
  </si>
  <si>
    <t>5110950301</t>
  </si>
  <si>
    <t>Contratos Compania de Jesus</t>
  </si>
  <si>
    <t>5110950401</t>
  </si>
  <si>
    <t>Conferenc_ cong_seminar_taller</t>
  </si>
  <si>
    <t>5110950501</t>
  </si>
  <si>
    <t>Analisis muestras</t>
  </si>
  <si>
    <t>5110950601</t>
  </si>
  <si>
    <t>Analisis y present_ informes</t>
  </si>
  <si>
    <t>5110950801</t>
  </si>
  <si>
    <t>Ases_trabajos de grado y tutor</t>
  </si>
  <si>
    <t>5110950901</t>
  </si>
  <si>
    <t>Conciertos,jurados,artistas</t>
  </si>
  <si>
    <t>5110951001</t>
  </si>
  <si>
    <t>Costos de docencia-Hospitales</t>
  </si>
  <si>
    <t>5110951101</t>
  </si>
  <si>
    <t>Elaboracion de bases de datos</t>
  </si>
  <si>
    <t>5110951201</t>
  </si>
  <si>
    <t>Diseno,grabacion,edic_digital</t>
  </si>
  <si>
    <t>5110951301</t>
  </si>
  <si>
    <t>Disenos de material y pag_ WEB</t>
  </si>
  <si>
    <t>5110951401</t>
  </si>
  <si>
    <t>Elabor_propuestas de proyectos</t>
  </si>
  <si>
    <t>5110951601</t>
  </si>
  <si>
    <t>Mercadeo publicitario</t>
  </si>
  <si>
    <t>5110951701</t>
  </si>
  <si>
    <t>Modelos e ilustraciones</t>
  </si>
  <si>
    <t>5110951801</t>
  </si>
  <si>
    <t>Encuestas y entrevistas</t>
  </si>
  <si>
    <t>5110951901</t>
  </si>
  <si>
    <t>Realiz_calificacion examenes</t>
  </si>
  <si>
    <t>5110952001</t>
  </si>
  <si>
    <t>Traducciones y analisis de doc</t>
  </si>
  <si>
    <t>5110952101</t>
  </si>
  <si>
    <t>Corrección de Estilos, textos</t>
  </si>
  <si>
    <t>5110952201</t>
  </si>
  <si>
    <t>Diagram_ Revistas, libros, doc</t>
  </si>
  <si>
    <t>5110952301</t>
  </si>
  <si>
    <t>Correc_y traducciones Textos</t>
  </si>
  <si>
    <t>5110952401</t>
  </si>
  <si>
    <t>Apoyo Logístico actividades</t>
  </si>
  <si>
    <t>5110952601</t>
  </si>
  <si>
    <t>Evaluacion y seg proyectos</t>
  </si>
  <si>
    <t>Total HONORARIOS</t>
  </si>
  <si>
    <t>5115</t>
  </si>
  <si>
    <t>51150501</t>
  </si>
  <si>
    <t>Industria y comercio</t>
  </si>
  <si>
    <t>51151501</t>
  </si>
  <si>
    <t>A la propiedad raiz</t>
  </si>
  <si>
    <t>51153001</t>
  </si>
  <si>
    <t>De turismo</t>
  </si>
  <si>
    <t>51154001</t>
  </si>
  <si>
    <t>De vehiculos</t>
  </si>
  <si>
    <t>51159501</t>
  </si>
  <si>
    <t>Gravamen movimientos financier</t>
  </si>
  <si>
    <t>51159504</t>
  </si>
  <si>
    <t>Impuestos asumidos</t>
  </si>
  <si>
    <t>Total IMPUESTOS</t>
  </si>
  <si>
    <t>5120</t>
  </si>
  <si>
    <t>51200501</t>
  </si>
  <si>
    <t>Arrrend Terrenos</t>
  </si>
  <si>
    <t>51201001</t>
  </si>
  <si>
    <t>Construcciones y edificaciones</t>
  </si>
  <si>
    <t>51201501</t>
  </si>
  <si>
    <t>Maquinaria y equipo</t>
  </si>
  <si>
    <t>51202001</t>
  </si>
  <si>
    <t>51202501</t>
  </si>
  <si>
    <t>Equipo computacion y comunicac</t>
  </si>
  <si>
    <t>51203501</t>
  </si>
  <si>
    <t>Equipo de hoteles y restaurant</t>
  </si>
  <si>
    <t>5125</t>
  </si>
  <si>
    <t>51250501</t>
  </si>
  <si>
    <t>Contribuciones</t>
  </si>
  <si>
    <t>51250502</t>
  </si>
  <si>
    <t>Fondo sostenibilidad ICETEX</t>
  </si>
  <si>
    <t>51251001</t>
  </si>
  <si>
    <t>Afiliaciones y sostenimiento</t>
  </si>
  <si>
    <t>Total CONTRIBUCIONES Y AFILIACIONES</t>
  </si>
  <si>
    <t>5130</t>
  </si>
  <si>
    <t>51301001</t>
  </si>
  <si>
    <t>Seg Cumplimiento</t>
  </si>
  <si>
    <t>51302001</t>
  </si>
  <si>
    <t>Vida colectiva</t>
  </si>
  <si>
    <t>51304001</t>
  </si>
  <si>
    <t>Flota y equipo de transporte</t>
  </si>
  <si>
    <t>51306001</t>
  </si>
  <si>
    <t>Resp_civil y extracontractual</t>
  </si>
  <si>
    <t>51306501</t>
  </si>
  <si>
    <t>Seg Vuelo</t>
  </si>
  <si>
    <t>51307501</t>
  </si>
  <si>
    <t>Obligatorio accidente transito</t>
  </si>
  <si>
    <t>51309501</t>
  </si>
  <si>
    <t>Infidelidad y riesgos finan</t>
  </si>
  <si>
    <t>51309502</t>
  </si>
  <si>
    <t>Todo riesgo</t>
  </si>
  <si>
    <t>51309504</t>
  </si>
  <si>
    <t>Riesgos profesionales estudian</t>
  </si>
  <si>
    <t>Total SEGUROS</t>
  </si>
  <si>
    <t>5135</t>
  </si>
  <si>
    <t>51350501</t>
  </si>
  <si>
    <t>Aseo</t>
  </si>
  <si>
    <t>51350502</t>
  </si>
  <si>
    <t>Vigilancia</t>
  </si>
  <si>
    <t>51351001</t>
  </si>
  <si>
    <t>Temporales</t>
  </si>
  <si>
    <t>51351501</t>
  </si>
  <si>
    <t>Serv_Asist_Tec_Nal</t>
  </si>
  <si>
    <t>51352501</t>
  </si>
  <si>
    <t>Acueducto y alcantarillado</t>
  </si>
  <si>
    <t>51353001</t>
  </si>
  <si>
    <t>Energia electrica</t>
  </si>
  <si>
    <t>51353501</t>
  </si>
  <si>
    <t>Telefono</t>
  </si>
  <si>
    <t>51354001</t>
  </si>
  <si>
    <t>Correo, portes y telegramas</t>
  </si>
  <si>
    <t>51355001</t>
  </si>
  <si>
    <t>Transporte, fletes y acarreos</t>
  </si>
  <si>
    <t>51355501</t>
  </si>
  <si>
    <t>Gas</t>
  </si>
  <si>
    <t>51356001</t>
  </si>
  <si>
    <t>Publicidad pregrado</t>
  </si>
  <si>
    <t>51356002</t>
  </si>
  <si>
    <t>Publicidad posgrado</t>
  </si>
  <si>
    <t>51356003</t>
  </si>
  <si>
    <t>Publicidad institucional</t>
  </si>
  <si>
    <t>51356004</t>
  </si>
  <si>
    <t>Publicidad educacion continua</t>
  </si>
  <si>
    <t>51359501</t>
  </si>
  <si>
    <t>Trans_datos-internet y redes</t>
  </si>
  <si>
    <t>51359502</t>
  </si>
  <si>
    <t>Administracion bodegas</t>
  </si>
  <si>
    <t>51359503</t>
  </si>
  <si>
    <t>Servicios de mesero</t>
  </si>
  <si>
    <t>51359506</t>
  </si>
  <si>
    <t>Fotografias y videos</t>
  </si>
  <si>
    <t>51359507</t>
  </si>
  <si>
    <t>Montaje stands, manejo de even</t>
  </si>
  <si>
    <t>51359508</t>
  </si>
  <si>
    <t>Restauracion libros biblioteca</t>
  </si>
  <si>
    <t>51359509</t>
  </si>
  <si>
    <t>Arbitrajes deportivos</t>
  </si>
  <si>
    <t>51359512</t>
  </si>
  <si>
    <t>Servicio de Call Center</t>
  </si>
  <si>
    <t>51359513</t>
  </si>
  <si>
    <t>Empaste y argollado</t>
  </si>
  <si>
    <t>51359514</t>
  </si>
  <si>
    <t>Mercadeo y ventas</t>
  </si>
  <si>
    <t>51359515</t>
  </si>
  <si>
    <t>Laboratorios y examenes</t>
  </si>
  <si>
    <t>Total SERVICIOS</t>
  </si>
  <si>
    <t>5140</t>
  </si>
  <si>
    <t>51400501</t>
  </si>
  <si>
    <t>Notariales</t>
  </si>
  <si>
    <t>51401501</t>
  </si>
  <si>
    <t>Tramites y licencias</t>
  </si>
  <si>
    <t>51402001</t>
  </si>
  <si>
    <t>Aduaneros</t>
  </si>
  <si>
    <t>51402501</t>
  </si>
  <si>
    <t>Consulares</t>
  </si>
  <si>
    <t>Total GASTOS LEGALES</t>
  </si>
  <si>
    <t>5145</t>
  </si>
  <si>
    <t>51451001</t>
  </si>
  <si>
    <t>51451501</t>
  </si>
  <si>
    <t>51452001</t>
  </si>
  <si>
    <t>51452501</t>
  </si>
  <si>
    <t>51453001</t>
  </si>
  <si>
    <t>Equipo medico-cientifico</t>
  </si>
  <si>
    <t>51454001</t>
  </si>
  <si>
    <t>51456001</t>
  </si>
  <si>
    <t>Acueductos, plantas y redes</t>
  </si>
  <si>
    <t>51457501</t>
  </si>
  <si>
    <t>Materiales reparac y mantenim</t>
  </si>
  <si>
    <t>Total MANTENIMIENTO Y REPARACIONES</t>
  </si>
  <si>
    <t>5150</t>
  </si>
  <si>
    <t>ADECUACIÓN E INSTALACIÓN</t>
  </si>
  <si>
    <t>51500501</t>
  </si>
  <si>
    <t>Instalaciones eléctricas</t>
  </si>
  <si>
    <t>51501001</t>
  </si>
  <si>
    <t>Arreglos ornamentales</t>
  </si>
  <si>
    <t>51501501</t>
  </si>
  <si>
    <t>Reparaciones locativas</t>
  </si>
  <si>
    <t>Total ADECUACIÓN E INSTALACIÓN</t>
  </si>
  <si>
    <t>5155</t>
  </si>
  <si>
    <t>51550501</t>
  </si>
  <si>
    <t>Alojamiento y manutencion</t>
  </si>
  <si>
    <t>51551001</t>
  </si>
  <si>
    <t>Pasajes fluviales y/o maritimo</t>
  </si>
  <si>
    <t>51551501</t>
  </si>
  <si>
    <t>Pasajes aereos</t>
  </si>
  <si>
    <t>51552001</t>
  </si>
  <si>
    <t>Pasajes terrestres</t>
  </si>
  <si>
    <t>Total GASTOS DE VIAJE</t>
  </si>
  <si>
    <t>5160</t>
  </si>
  <si>
    <t>516096</t>
  </si>
  <si>
    <t>Depreciaciones</t>
  </si>
  <si>
    <t>Total DEPRECIACIONES</t>
  </si>
  <si>
    <t>5195</t>
  </si>
  <si>
    <t>51950501</t>
  </si>
  <si>
    <t>Comisiones</t>
  </si>
  <si>
    <t>51951001</t>
  </si>
  <si>
    <t>Libros,suscrip_period y revist</t>
  </si>
  <si>
    <t>51952001</t>
  </si>
  <si>
    <t>Gastos repres_ y relac_ Pub</t>
  </si>
  <si>
    <t>51952501</t>
  </si>
  <si>
    <t>Elementos de aseo</t>
  </si>
  <si>
    <t>51952502</t>
  </si>
  <si>
    <t>Elementos de cafeteria</t>
  </si>
  <si>
    <t>51953001</t>
  </si>
  <si>
    <t>utiles y dotacion de oficina</t>
  </si>
  <si>
    <t>51953002</t>
  </si>
  <si>
    <t>Papeleria</t>
  </si>
  <si>
    <t>51953003</t>
  </si>
  <si>
    <t>Fotocopias</t>
  </si>
  <si>
    <t>51953004</t>
  </si>
  <si>
    <t>Elem_ Eq_ impresion y proyecc</t>
  </si>
  <si>
    <t>51953501</t>
  </si>
  <si>
    <t>Combustibles y lubricantes</t>
  </si>
  <si>
    <t>51954001</t>
  </si>
  <si>
    <t>Envases y empaques</t>
  </si>
  <si>
    <t>51954501</t>
  </si>
  <si>
    <t>Taxis y buses</t>
  </si>
  <si>
    <t>51955001</t>
  </si>
  <si>
    <t>Estampillas</t>
  </si>
  <si>
    <t>51956001</t>
  </si>
  <si>
    <t>Restaurante</t>
  </si>
  <si>
    <t>51956501</t>
  </si>
  <si>
    <t>Parqueaderos</t>
  </si>
  <si>
    <t>51957001</t>
  </si>
  <si>
    <t>Indemn_ por daños a terceros</t>
  </si>
  <si>
    <t>5195950101</t>
  </si>
  <si>
    <t>Beca Universidad Javeriana</t>
  </si>
  <si>
    <t>5195950301</t>
  </si>
  <si>
    <t>Impresion de libros</t>
  </si>
  <si>
    <t>5195950302</t>
  </si>
  <si>
    <t>Impresion de revistas</t>
  </si>
  <si>
    <t>5195950303</t>
  </si>
  <si>
    <t>Folletos y volantes</t>
  </si>
  <si>
    <t>5195950401</t>
  </si>
  <si>
    <t>Apoyo economico a estudiantes</t>
  </si>
  <si>
    <t>5195950403</t>
  </si>
  <si>
    <t>Inscrip. a Seminari Congr Etc</t>
  </si>
  <si>
    <t>5195950501</t>
  </si>
  <si>
    <t>Materiales y sum_dependencias</t>
  </si>
  <si>
    <t>5195950502</t>
  </si>
  <si>
    <t>Material ensenanza para estud</t>
  </si>
  <si>
    <t>5195950503</t>
  </si>
  <si>
    <t>Reactivos quim_y elem_de labor</t>
  </si>
  <si>
    <t>5195950601</t>
  </si>
  <si>
    <t>Implementos deportivos</t>
  </si>
  <si>
    <t>5195950701</t>
  </si>
  <si>
    <t>Gastos de Capilla</t>
  </si>
  <si>
    <t>5195950702</t>
  </si>
  <si>
    <t>Eventos y celeb_(fin de año)</t>
  </si>
  <si>
    <t>5195950704</t>
  </si>
  <si>
    <t>Premios</t>
  </si>
  <si>
    <t>519595080</t>
  </si>
  <si>
    <t>PROYECTOS Y EVENTOS</t>
  </si>
  <si>
    <t>5195950801</t>
  </si>
  <si>
    <t>Licencias</t>
  </si>
  <si>
    <t>5195950802</t>
  </si>
  <si>
    <t>Programas para computador</t>
  </si>
  <si>
    <t>519595081</t>
  </si>
  <si>
    <t>COSTOS DE DIPLOMADOS</t>
  </si>
  <si>
    <t>519595082</t>
  </si>
  <si>
    <t>COSTOS PROYECTOS CONSULTORIA</t>
  </si>
  <si>
    <t>Total DIVERSOS</t>
  </si>
  <si>
    <t>5199</t>
  </si>
  <si>
    <t>51991001</t>
  </si>
  <si>
    <t>51991003</t>
  </si>
  <si>
    <t>Total PROVISIONES</t>
  </si>
  <si>
    <t>5305</t>
  </si>
  <si>
    <t>53050501</t>
  </si>
  <si>
    <t>Gastos bancarios</t>
  </si>
  <si>
    <t>53051501</t>
  </si>
  <si>
    <t>Cheques y chequeras</t>
  </si>
  <si>
    <t>53051502</t>
  </si>
  <si>
    <t>Consignacion nacional</t>
  </si>
  <si>
    <t>53051503</t>
  </si>
  <si>
    <t>Tarjetas de credito</t>
  </si>
  <si>
    <t>53051505</t>
  </si>
  <si>
    <t>Traslado de fondos</t>
  </si>
  <si>
    <t>53052001</t>
  </si>
  <si>
    <t>Intereses</t>
  </si>
  <si>
    <t>Total GASTOS FINANCIEROS</t>
  </si>
  <si>
    <t>53109501</t>
  </si>
  <si>
    <t>Inventario Tienda</t>
  </si>
  <si>
    <t>Total PERDIDA VENTA Y RETIRO BIENES</t>
  </si>
  <si>
    <t>Total 5</t>
  </si>
  <si>
    <t>6160</t>
  </si>
  <si>
    <t>616095</t>
  </si>
  <si>
    <t>Inventario Tienda Javeriana</t>
  </si>
  <si>
    <t>Total 6</t>
  </si>
  <si>
    <t>1508</t>
  </si>
  <si>
    <t>CONSTRUCCIONES EN CURSO</t>
  </si>
  <si>
    <t>15080501</t>
  </si>
  <si>
    <t>Total 1508</t>
  </si>
  <si>
    <t>1520</t>
  </si>
  <si>
    <t>MAQUINARIA Y EQUIPO</t>
  </si>
  <si>
    <t>15200501</t>
  </si>
  <si>
    <t>Total 1520</t>
  </si>
  <si>
    <t>1524</t>
  </si>
  <si>
    <t>EQUIPO DE OFICINA</t>
  </si>
  <si>
    <t>15240501</t>
  </si>
  <si>
    <t>Muebles y enseres</t>
  </si>
  <si>
    <t>Total 1524</t>
  </si>
  <si>
    <t>1528</t>
  </si>
  <si>
    <t>EQUIPO COMPUTACION Y COMUNICAC</t>
  </si>
  <si>
    <t>15280501</t>
  </si>
  <si>
    <t>Equipos procesamiento de datos</t>
  </si>
  <si>
    <t>Total 1528</t>
  </si>
  <si>
    <t>FACULTAD DE HUMANIDADES Y CIENCIAS SOCIALES</t>
  </si>
  <si>
    <t>FACULTAD DE CIENCIAS DE LA SALUD</t>
  </si>
  <si>
    <t xml:space="preserve">ESP. GERENCIA SOCIAL </t>
  </si>
  <si>
    <t>ESP. EN FINANZAS</t>
  </si>
  <si>
    <t>ESP. EN GESTIÓN TRIBUTARIA</t>
  </si>
  <si>
    <t>ESP. ADMINISTRACIÓN EN SALUD</t>
  </si>
  <si>
    <t>ESP.  CONTABILIDAD FINANCIERA INTERNACIONAL</t>
  </si>
  <si>
    <t>ESP. EN NEGOCIOS INTERNACIONALES</t>
  </si>
  <si>
    <t>MAESTRÍA EN ADMINISTRACIÓN DE EMPRESAS</t>
  </si>
  <si>
    <t>MAESTRIA EN FINANZAS</t>
  </si>
  <si>
    <t>MAESTRIA EN MERCADEO</t>
  </si>
  <si>
    <t>ESP. SIST. DE INGENIERÍA</t>
  </si>
  <si>
    <t>ESP. GERENCIA DE CONSTRUCCIÓN</t>
  </si>
  <si>
    <t>ESP. LOGÍSTICA INTEGRAL</t>
  </si>
  <si>
    <t>ESP. EN INGENIERÍA DE LA CALIDAD</t>
  </si>
  <si>
    <t>MAESTRÍA EN INGENIERÍA</t>
  </si>
  <si>
    <t>MAESTRIA EN INGENIERIA CIVIL</t>
  </si>
  <si>
    <t>DOCTORADO EN INGENIERIA</t>
  </si>
  <si>
    <t>ESP. EN CULTURA DE PAZ. DIH</t>
  </si>
  <si>
    <t>ESP. EN DERECHO COMERCIAL</t>
  </si>
  <si>
    <t>ESP. EN PROCESOS HUMANOS Y DESARROLLO ORG.</t>
  </si>
  <si>
    <t>ESP. NEUROPSICOLOGÍA INFANTIL</t>
  </si>
  <si>
    <t>ESP. EN SEGURIDAD SOCIAL</t>
  </si>
  <si>
    <t>MAESTRÍA EN FAMILIA</t>
  </si>
  <si>
    <t>MAESTRÍA EN DERECHOS HUMANOS</t>
  </si>
  <si>
    <t>MAESTRIA EN DERECHO EMPRESARIAL</t>
  </si>
  <si>
    <t>MAESTRIA EN SALUD PUBLICA</t>
  </si>
  <si>
    <t xml:space="preserve">OTROS CONCEPTOS </t>
  </si>
  <si>
    <t>Variacion %</t>
  </si>
  <si>
    <t>EXÁMENES DE VALIDACIÓN</t>
  </si>
  <si>
    <t>CERTIFICADOS DE NOTAS</t>
  </si>
  <si>
    <t>CERTIFICADOS DE CONTENIDOS</t>
  </si>
  <si>
    <t>CERTIFICADOS FINANCIEROS</t>
  </si>
  <si>
    <t>REPOSICIÓN DE CARNÉ PARA ESTUDIANTES</t>
  </si>
  <si>
    <t>MULTAS BIBLIOTECA, AUDIOV. Y LAB.</t>
  </si>
  <si>
    <t>MULTA LIBROS DE RESERVA</t>
  </si>
  <si>
    <t>HOJAS DE CANCELACIÓN DE ASIGNATURAS</t>
  </si>
  <si>
    <t>ACTAS DE GRADO (COPIA)</t>
  </si>
  <si>
    <t>DIPLOMA EN ESPAÑOL (COPIA)</t>
  </si>
  <si>
    <t>Auxilio de matrícula de hijos de profesores y empleados administrativos de tiempo completo</t>
  </si>
  <si>
    <t>Programa de Becas</t>
  </si>
  <si>
    <t>Pontificia Universidad Javeriana</t>
  </si>
  <si>
    <t>Contenido</t>
  </si>
  <si>
    <t>Incremento en valores de matrícula y demás derechos pecuniarios - Anexo Seccional Cali</t>
  </si>
  <si>
    <t>PONTIFICIA UNIVERSIDAD JAVERIANA  - SECCIONAL CALI</t>
  </si>
  <si>
    <t>PONTIFICIA UNIVERSIDAD JAVERIANA - SECCIONAL CALI</t>
  </si>
  <si>
    <t>Volver al menú</t>
  </si>
  <si>
    <t>Cambios tecnológicos en sistemas de iluminación LED y colocación de paneles solares</t>
  </si>
  <si>
    <t xml:space="preserve">Equipos de cómputo para estudiantes, docentes y administrativos </t>
  </si>
  <si>
    <t xml:space="preserve">Renovación de los esquemas de licenciamiento de software institucional. </t>
  </si>
  <si>
    <t>Apoyo a la investigación, la actividad de los grupos de investigación, la consecución de recursos externos, la articulación entre la investigación y la docencia, y la formación de jóvenes investigadores.</t>
  </si>
  <si>
    <t>Proceso para acreditación internacional AACSB</t>
  </si>
  <si>
    <t>Proceso para acreditación internacional ABET</t>
  </si>
  <si>
    <t>Propuestas contempladas en el ciclo de Planeación.</t>
  </si>
  <si>
    <t>Valor Matrícula 2017</t>
  </si>
  <si>
    <t>FACULTAD DE INGENIERIA</t>
  </si>
  <si>
    <t>FACULTAD DE CIENCIAS ECONOMICAS Y ADMINISTRATIVAS</t>
  </si>
  <si>
    <t>ESP. SIST. DE ING. ENF. INFORMAT.</t>
  </si>
  <si>
    <t>ESP. EN INGENIERÍA DE SOFTWARE</t>
  </si>
  <si>
    <t>ESP. EN USO EFICIENTE ENERGÍA ELÉCTRICA</t>
  </si>
  <si>
    <t>MAESTRIA EN INGENIERIA DE SOFTWARE</t>
  </si>
  <si>
    <t>MAESTRIA EN ADMINISTRACION DE EMPRESAS PASTO</t>
  </si>
  <si>
    <t>MAESTRIA EN ADMON. DE EMPRESAS PEREIRA (3a cohorte)</t>
  </si>
  <si>
    <t>MAESTRIA EN ADMON. DE EMPRESAS PEREIRA (2a cohorte)</t>
  </si>
  <si>
    <t>MAESTRIA EN ADMON. DE EMPRESAS PEREIRA (1a cohorte)</t>
  </si>
  <si>
    <t>MAESTRIA EN PSICOLOGIA DE LA SALUD</t>
  </si>
  <si>
    <t>MAESTRÍA EN EDUCACIÓN</t>
  </si>
  <si>
    <t>Maestría en Asesoría Familiar (Virtual) COP</t>
  </si>
  <si>
    <t>PREPARATORIOS CARRERA DE DERECHO</t>
  </si>
  <si>
    <t>41600506</t>
  </si>
  <si>
    <t>Seminarios Congresos y Conferencias</t>
  </si>
  <si>
    <t>4160950103</t>
  </si>
  <si>
    <t>Actividades  de Pastoral</t>
  </si>
  <si>
    <t>510507</t>
  </si>
  <si>
    <t>51103502</t>
  </si>
  <si>
    <t>Pagos al exterior</t>
  </si>
  <si>
    <t>51359511</t>
  </si>
  <si>
    <t>Coord salidas de campo-museos</t>
  </si>
  <si>
    <t>51959580</t>
  </si>
  <si>
    <t>Gastos Admon Proy Docencia</t>
  </si>
  <si>
    <t>51991002</t>
  </si>
  <si>
    <t>4210050310</t>
  </si>
  <si>
    <t>Intereres Cartera discrecional</t>
  </si>
  <si>
    <t>4210050308</t>
  </si>
  <si>
    <t>Inter_ Fideicomisos de invers</t>
  </si>
  <si>
    <t>4210050314</t>
  </si>
  <si>
    <t>Rendimientos Portafolio Cali</t>
  </si>
  <si>
    <t>53052501</t>
  </si>
  <si>
    <t>Con IPC</t>
  </si>
  <si>
    <t>% Segunda Fecha de Pago</t>
  </si>
  <si>
    <t>Valor Segunda Fecha de Pago</t>
  </si>
  <si>
    <t>% Tercera Fecha de Pago</t>
  </si>
  <si>
    <t>Valor Tercera Fecha de Pago</t>
  </si>
  <si>
    <t>Ingresos sin incremento Primer Periodo</t>
  </si>
  <si>
    <t>Mayor (Menor) valor Primer Periodo</t>
  </si>
  <si>
    <t>Ingresos sin incremento Segundo Periodo</t>
  </si>
  <si>
    <t>Mayor (Menor) valor Segundo Periodo</t>
  </si>
  <si>
    <t>Total mayor (menor) valor al IPC</t>
  </si>
  <si>
    <t>PREGRADO</t>
  </si>
  <si>
    <t>TOTAL PREGRADO</t>
  </si>
  <si>
    <t>-</t>
  </si>
  <si>
    <t>% PROMEDIO DE INCREMENTO DE MATRÍCULAS PREGRADO</t>
  </si>
  <si>
    <t>POSGRADO</t>
  </si>
  <si>
    <t>TOTAL POSGRADO</t>
  </si>
  <si>
    <t>TOTAL PONTIFICIA UNIVERSIDAD JAVERIANA</t>
  </si>
  <si>
    <t>% PROMEDIO DE INCREMENTO DE MATRÍCULAS PUJ SECCIONAL CALI</t>
  </si>
  <si>
    <t># de Creditos</t>
  </si>
  <si>
    <t>DOCTORADO EN PSICOLOGIA</t>
  </si>
  <si>
    <t>MAESTRÍA EN CIENCIAS ECONÓMICAS Y DE GESTIÓN</t>
  </si>
  <si>
    <t>DOCTORADO EN CIENCIAS ECONÓMICAS</t>
  </si>
  <si>
    <t>ESPECIALIZACIÓN EN MEDICINA DE URGENCIAS</t>
  </si>
  <si>
    <t>ESPECIALIZACIÓN EN OFTALMOLOGÍA</t>
  </si>
  <si>
    <t>INSCRIPCIÓN ESPECIALIZACIONES MEDICO QUIRURGICAS</t>
  </si>
  <si>
    <t>Valor Matrícula 2018</t>
  </si>
  <si>
    <t>ESPECIALIZACIÓN EN  MEDICINA FAMILIAR</t>
  </si>
  <si>
    <t>MAESTRIA EN ADMINISTRACIÓN DE EMPRESAS Barranquilla (2da cohorte)</t>
  </si>
  <si>
    <t>MAESTRIA EN ADMINISTRACIÓN DE EMPRESAS Barranquilla (1da cohorte)</t>
  </si>
  <si>
    <t>% PROMEDIO DE INCREMENTO DE MATRÍCULAS POSGRADO</t>
  </si>
  <si>
    <t>Proyección Estudiantes Matriculados 2018-1</t>
  </si>
  <si>
    <t>Proyección Estudiantes Matriculados 2018-2</t>
  </si>
  <si>
    <t>Ingresos proyectados 2018-1</t>
  </si>
  <si>
    <t>Ingresos proyectados 2018-2</t>
  </si>
  <si>
    <t>Total Ingresos proyectados por matrículas 2018</t>
  </si>
  <si>
    <t>,</t>
  </si>
  <si>
    <t>Autoevaluación y acreditación de programas</t>
  </si>
  <si>
    <t>Renovación audiovisual salones. Proyectores y sonido destinados para salones de clase</t>
  </si>
  <si>
    <t>Desarrollo de software que mejoran los procesos académicos y administrativos</t>
  </si>
  <si>
    <t xml:space="preserve"> </t>
  </si>
  <si>
    <t xml:space="preserve">MATEMÁTICAS APLICADAS </t>
  </si>
  <si>
    <t xml:space="preserve">BIOLOGÍA </t>
  </si>
  <si>
    <t xml:space="preserve">CIENCIAS POLÍTICAS </t>
  </si>
  <si>
    <t xml:space="preserve">COMUNICACIÓN </t>
  </si>
  <si>
    <t xml:space="preserve">DISEÑO DE COMUNICACIÓN VISUAL </t>
  </si>
  <si>
    <t xml:space="preserve">ARTES VISUALES </t>
  </si>
  <si>
    <t xml:space="preserve">FILOSOFÍA </t>
  </si>
  <si>
    <t xml:space="preserve">ENFERMERIA </t>
  </si>
  <si>
    <t>permanente</t>
  </si>
  <si>
    <t>INGENIERÍA INDUSTRIAL Cohortes &lt;= 2016</t>
  </si>
  <si>
    <t>INGENIERÍA INDUSTRIAL Cohortes 2018 - 2017</t>
  </si>
  <si>
    <t>INGENIERÍA CIVIL Cohortes 2018 - 2017</t>
  </si>
  <si>
    <t>INGENIERÍA CIVIL Cohortes &lt; = 2016</t>
  </si>
  <si>
    <t>INGENIERÍA ELECTRÓNICA Cohortes 2018 - 2017</t>
  </si>
  <si>
    <t>INGENIERÍA ELECTRÓNICA Cohortes &lt; = 2016</t>
  </si>
  <si>
    <t>INGENIERÍA DE SISTEMAS Cohortes 2018 -2017</t>
  </si>
  <si>
    <t>Fuente: Oficina de contabilidad y presupuesto – Vicerrectoría Administrativa, Pontificia Universidad Javeriana - Seccional Cali.</t>
  </si>
  <si>
    <t>Maestría en Asesoría Familiar (Virtual) USD</t>
  </si>
  <si>
    <t>MAESTRIA EN ADMINISTRACIÓN DE EMPRESAS Barranquilla (3ra cohorte)</t>
  </si>
  <si>
    <t>REVISIÓN DE EXÁMENES PREGRADO (segundo calificador)</t>
  </si>
  <si>
    <t xml:space="preserve">Plan de acompañamiento Integral para los estudiantes favorecidos con las becas del gobierno nacional </t>
  </si>
  <si>
    <t>Aspectos salariales (nivelación salarial profesores y colaboradores)</t>
  </si>
  <si>
    <t xml:space="preserve">Movilidad académica estudiantes negocios internacionales </t>
  </si>
  <si>
    <t>INGENIERÍA DE SISTEMAS Cohortes &lt; 2016</t>
  </si>
  <si>
    <t>CONTADURÍA   (N) Cohorte 2018 -2017</t>
  </si>
  <si>
    <t>CONTADURÍA   (N) Cohortes &lt; = 2016</t>
  </si>
  <si>
    <t>CONTADURÍA (D) Cohorte 2018 -2017</t>
  </si>
  <si>
    <t>CONTADURÍA (D) Cohortes &lt; =2016</t>
  </si>
  <si>
    <t>ADMINISTRACIÓN DE EMPRESAS (D) Cohorte 2018 -2017</t>
  </si>
  <si>
    <t>ADMINISTRACIÓN DE EMPRESAS (D) Cohorte 2016</t>
  </si>
  <si>
    <t>ADMINISTRACIÓN DE EMPRESAS (D) Cohortes &lt; =2015</t>
  </si>
  <si>
    <t>ECONOMÍA Cohorte 2018 -2017</t>
  </si>
  <si>
    <t>ECONOMÍA Cohorte 2016</t>
  </si>
  <si>
    <t>ECONOMÍA Cohortes &lt;=2015</t>
  </si>
  <si>
    <t>ADMINISTRACIÓN DE EMPRESAS (N) Cohorte 2018-2017</t>
  </si>
  <si>
    <t>ADMINISTRACIÓN DE EMPRESAS (N) Cohorte 2 016</t>
  </si>
  <si>
    <t>ADMINISTRACIÓN DE EMPRESAS (N) Cohortes &lt;= 2015</t>
  </si>
  <si>
    <t>NEGOCIOS INTERNACIONALES Cohortes 2018 -2016</t>
  </si>
  <si>
    <t>NEGOCIOS INTERNACIONALES Cohortes &lt; = 2015</t>
  </si>
  <si>
    <t>PSICOLOGÍA Cohorte 2018 -2017</t>
  </si>
  <si>
    <t>PSICOLOGÍA Cohortes &lt; =2016</t>
  </si>
  <si>
    <t>DERECHO Cohorte 2018 -2017</t>
  </si>
  <si>
    <t>DERECHO Cohorte 2016</t>
  </si>
  <si>
    <t>DERECHO Cohortes &lt; =2015</t>
  </si>
  <si>
    <t>ARQUITECTURA Cohorte 2018 -2017</t>
  </si>
  <si>
    <t>ARQUITECTURA Cohortes &lt;=2016</t>
  </si>
  <si>
    <t>MEDICINA Cohorte 2018 -2016</t>
  </si>
  <si>
    <t>MEDICINA Cohortes &lt; = 2015</t>
  </si>
  <si>
    <t>NUTRICION Y DIETÉTICA Cohorte 2018</t>
  </si>
  <si>
    <t>NUTRICION Y DIETÉTICA Cohorte 2017</t>
  </si>
  <si>
    <t>Nota: Debido a que hay estudiantes que pagan media matrícula y que ademas se otorgan algunos descuentos, el  ingreso total estimado por matrículas  para cada periodo no es igual a la multiplicación del número de estudiantes por el valor de la matrícula</t>
  </si>
  <si>
    <t>Consejo Directivo de la Seccional</t>
  </si>
  <si>
    <t>Cifras en pesos colombianos</t>
  </si>
  <si>
    <t>4210050501</t>
  </si>
  <si>
    <t>Intereses Cuentas de Ahorro</t>
  </si>
  <si>
    <t>42102001</t>
  </si>
  <si>
    <t>4210950501</t>
  </si>
  <si>
    <t>Contr_ forwards compra divisas</t>
  </si>
  <si>
    <t>42955301</t>
  </si>
  <si>
    <t>Sobrantes de caja</t>
  </si>
  <si>
    <t>42958101</t>
  </si>
  <si>
    <t>Ajuste al peso</t>
  </si>
  <si>
    <t>42959502</t>
  </si>
  <si>
    <t>Patroc_aport_y apoyo econ_rec</t>
  </si>
  <si>
    <t>INDEMNIZACIONES</t>
  </si>
  <si>
    <t>Total INDEMNIZACIONES</t>
  </si>
  <si>
    <t>51101001</t>
  </si>
  <si>
    <t>Revisoria fiscal</t>
  </si>
  <si>
    <t>51308501</t>
  </si>
  <si>
    <t>Transporte de mercancia</t>
  </si>
  <si>
    <t>51309503</t>
  </si>
  <si>
    <t>Seguro medico</t>
  </si>
  <si>
    <t>51359504</t>
  </si>
  <si>
    <t>Servicios certificados digital</t>
  </si>
  <si>
    <t>51509501</t>
  </si>
  <si>
    <t>Otras Adecuaciones e Instal</t>
  </si>
  <si>
    <t>5395</t>
  </si>
  <si>
    <t>OTROS GASTOS FINANCIEROS</t>
  </si>
  <si>
    <t>53952001</t>
  </si>
  <si>
    <t>Multas, sanciones y litigios</t>
  </si>
  <si>
    <t>Total OTROS GASTOS FINANCIEROS</t>
  </si>
  <si>
    <t>5310</t>
  </si>
  <si>
    <t>PERDIDA VENTA Y RETIRO BIENES</t>
  </si>
  <si>
    <t>INSCRIPCIÓN PREGRADO</t>
  </si>
  <si>
    <t>INSCRIPCIÓN POSGRADO</t>
  </si>
  <si>
    <t>SUPLETORIOS PREGRADO, PARCIALES Y FINALES</t>
  </si>
  <si>
    <t>SUPLETORIOS POSGRADO, PARCIALES Y FINALES</t>
  </si>
  <si>
    <t>DERECHOS DE GRADO PREGRADO</t>
  </si>
  <si>
    <t>DERECHOS DE GRADO POSGRADO</t>
  </si>
  <si>
    <t>CERTIFICADOS DE ESTUDIOS PREGRADO</t>
  </si>
  <si>
    <t>CERTIFICADOS DE ESTUDIOS POSGRADO</t>
  </si>
  <si>
    <t>Codigo SNIES</t>
  </si>
  <si>
    <t>1. Actividades de incidencia social e impacto regional</t>
  </si>
  <si>
    <t>2. Bienestar institucional de la comunidad educativa</t>
  </si>
  <si>
    <t>2.1</t>
  </si>
  <si>
    <t>2.2</t>
  </si>
  <si>
    <t>1.1</t>
  </si>
  <si>
    <t>1.2</t>
  </si>
  <si>
    <t>3. Cualificación docente</t>
  </si>
  <si>
    <t>3.1</t>
  </si>
  <si>
    <t>3.2</t>
  </si>
  <si>
    <t>4. Desarrollo físico y sostenibilidad ambiental</t>
  </si>
  <si>
    <t>4.1</t>
  </si>
  <si>
    <t>4.2</t>
  </si>
  <si>
    <t>5. Desarrollo tecnológico</t>
  </si>
  <si>
    <t>5.1</t>
  </si>
  <si>
    <t>6. Infraestructura</t>
  </si>
  <si>
    <t>6.1</t>
  </si>
  <si>
    <t>6.2</t>
  </si>
  <si>
    <t>6.3</t>
  </si>
  <si>
    <t>7. Internacionalización</t>
  </si>
  <si>
    <t>7.1</t>
  </si>
  <si>
    <t>8. Inversión en planta física</t>
  </si>
  <si>
    <t>8.1</t>
  </si>
  <si>
    <t>8.2</t>
  </si>
  <si>
    <t>8.3</t>
  </si>
  <si>
    <t>9.1</t>
  </si>
  <si>
    <t>9.2</t>
  </si>
  <si>
    <t>10. Investigación, innovación y extensión</t>
  </si>
  <si>
    <t>10.1</t>
  </si>
  <si>
    <t>11. Programas académicos</t>
  </si>
  <si>
    <t>11.1</t>
  </si>
  <si>
    <t>11.2</t>
  </si>
  <si>
    <t>11.3</t>
  </si>
  <si>
    <t>12.1</t>
  </si>
  <si>
    <t>Valores de matrícula 2018 - 2019</t>
  </si>
  <si>
    <t>INGENIERÍA MECÁNICA</t>
  </si>
  <si>
    <t>MAESTRIA EN GERENCIA DE ORGANIZACIONES DE SALUD</t>
  </si>
  <si>
    <t>ESP. DERECHO AMBIENTAL</t>
  </si>
  <si>
    <t>Nota: Debido a que hay estudiantes que pagan media matrícula y que ademas se otorgan algunos descuentos, el  ingreso total estimado por matrículas  para cada periodo no es igual a la multiplicación del número de estudiantes registrado por el valor de la matrícula</t>
  </si>
  <si>
    <t xml:space="preserve">Equipo médico científico de los laboratorios </t>
  </si>
  <si>
    <t>X</t>
  </si>
  <si>
    <t>4210050403</t>
  </si>
  <si>
    <t>Contr_ forwards venta divisas</t>
  </si>
  <si>
    <t>510508</t>
  </si>
  <si>
    <t>Prestaciones HC Posgrados</t>
  </si>
  <si>
    <t>510596</t>
  </si>
  <si>
    <t>Hora Catédra Posgrados</t>
  </si>
  <si>
    <t>Impuesto de Renta y Complement</t>
  </si>
  <si>
    <t>5195950406</t>
  </si>
  <si>
    <t xml:space="preserve">Apoyo Económico a Pilo_paga	</t>
  </si>
  <si>
    <t>*</t>
  </si>
  <si>
    <t>* Vr. Medio SMMLV</t>
  </si>
  <si>
    <t>FINANZAS</t>
  </si>
  <si>
    <t>MERCADEO</t>
  </si>
  <si>
    <t>ESPECIALIZACIÓN EN MEDICINA FORENSE</t>
  </si>
  <si>
    <t>MAESTRÍA EN POLÍTICA SOCIAL</t>
  </si>
  <si>
    <t>EQUIPO DE LABORATORIO</t>
  </si>
  <si>
    <t>Total 1532</t>
  </si>
  <si>
    <t>MBA Barranquilla (5a cohorte) 2020</t>
  </si>
  <si>
    <t>41600701</t>
  </si>
  <si>
    <t>Proyectos de Investigación</t>
  </si>
  <si>
    <t>4160950410</t>
  </si>
  <si>
    <t>Estudios de laboratorio</t>
  </si>
  <si>
    <t>4160950210</t>
  </si>
  <si>
    <t>Ingresos Mercatería</t>
  </si>
  <si>
    <t>4160950202</t>
  </si>
  <si>
    <t>Parquederos</t>
  </si>
  <si>
    <t>41800596</t>
  </si>
  <si>
    <t>Donaciones</t>
  </si>
  <si>
    <t>Diversos</t>
  </si>
  <si>
    <t>51352001</t>
  </si>
  <si>
    <t>Proces_ electronico de datos</t>
  </si>
  <si>
    <t>5195950404</t>
  </si>
  <si>
    <t>Excedentes Otros Cursos</t>
  </si>
  <si>
    <t>5195950603</t>
  </si>
  <si>
    <t>Inscripcion eventos deportivos</t>
  </si>
  <si>
    <t>53051506</t>
  </si>
  <si>
    <t>Otras comisiones</t>
  </si>
  <si>
    <t>53059504</t>
  </si>
  <si>
    <t>Perdida valoración derivados</t>
  </si>
  <si>
    <t>5405</t>
  </si>
  <si>
    <t>54050501</t>
  </si>
  <si>
    <t>COSTOS DE VENTAS</t>
  </si>
  <si>
    <t>Total COSTOS DE VENTAS</t>
  </si>
  <si>
    <t>Valor Matrícula 2021</t>
  </si>
  <si>
    <t>INGENIERÍA BIOMEDICA</t>
  </si>
  <si>
    <t>TURISMO</t>
  </si>
  <si>
    <t>GASTRONOMÍA Y ARTES CULINIARIAS</t>
  </si>
  <si>
    <t>ESPECIALIZACIÓN EN CIRUGIA ONCOLOGICA</t>
  </si>
  <si>
    <t>ESP. EN GESTIÓN DE LA ARTES Y CULTURA</t>
  </si>
  <si>
    <t>MAESTRÍA EN NEUROPSICOLOGÍA CLÍNICA</t>
  </si>
  <si>
    <t>MAESTRÍA EN COMUNICACIÓN DE LAS ORGANIZACIONES</t>
  </si>
  <si>
    <t>Tarifa 2021</t>
  </si>
  <si>
    <t>MAESTRÍA EN HABITAT SUSTENTABLE</t>
  </si>
  <si>
    <t>Equipo de Laboratorios</t>
  </si>
  <si>
    <t>51103001</t>
  </si>
  <si>
    <t>Asesoria financiera</t>
  </si>
  <si>
    <t>5110951501</t>
  </si>
  <si>
    <t>Entrev_ admision y preparacion</t>
  </si>
  <si>
    <t>51155001</t>
  </si>
  <si>
    <t>Cuotas de fomento</t>
  </si>
  <si>
    <t>51359510</t>
  </si>
  <si>
    <t>Guia expojaveriana</t>
  </si>
  <si>
    <t>51409501</t>
  </si>
  <si>
    <t>Otros Gastos Legales</t>
  </si>
  <si>
    <t>Valor Matrícula 2022</t>
  </si>
  <si>
    <t>INGENIERÍA INDUSTRIAL Cohortes 2022 - 2017</t>
  </si>
  <si>
    <t>INGENIERÍA CIVIL Cohortes 2022 - 2017</t>
  </si>
  <si>
    <t>INGENIERÍA ELECTRÓNICA Cohortes 2022 - 2017</t>
  </si>
  <si>
    <t>INGENIERÍA DE SISTEMAS Cohortes 2022 -2017</t>
  </si>
  <si>
    <t>CONTADURÍA   (N) Cohorte 2022 -2017</t>
  </si>
  <si>
    <t>CONTADURÍA (D) Cohorte 2022 -2017</t>
  </si>
  <si>
    <t>ADMINISTRACIÓN DE EMPRESAS (D) Cohorte 2022 -2017</t>
  </si>
  <si>
    <t>ECONOMÍA Cohorte 2022 -2017</t>
  </si>
  <si>
    <t>ADMINISTRACIÓN DE EMPRESAS (N) Cohorte 2022-2017</t>
  </si>
  <si>
    <t>NEGOCIOS INTERNACIONALES Cohortes 2022 -2016</t>
  </si>
  <si>
    <t>PSICOLOGÍA Cohorte 2022 -2017</t>
  </si>
  <si>
    <t>DERECHO Cohorte 2022 -2017</t>
  </si>
  <si>
    <t>ARQUITECTURA Cohorte 2022 -2017</t>
  </si>
  <si>
    <t>MEDICINA Cohorte 2022 -2016</t>
  </si>
  <si>
    <t>FACULTAD DE CREACIÓN Y HABITAT</t>
  </si>
  <si>
    <t xml:space="preserve">NUTRICION Y DIETÉTICA Cohorte 2022 </t>
  </si>
  <si>
    <t>NUTRICION Y DIETÉTICA Cohorte 2021 - 2018</t>
  </si>
  <si>
    <t>ESPECIALIZACIÓN EN CIRUGIA DE MANO</t>
  </si>
  <si>
    <t>ESP. SIST. GERENCIALES DE INGENIERÍA</t>
  </si>
  <si>
    <t xml:space="preserve">ESP. EN LOGÍSTICA </t>
  </si>
  <si>
    <t>ESP. GERENCIA DE CONSTRUCCIONES</t>
  </si>
  <si>
    <t>MAESTRIA EN INGENIERIA DE SOFTWARE 2020-2 &gt;</t>
  </si>
  <si>
    <t>MAESTRIA EN INGENIERIA DE SOFTWARE 2020-1 &lt;</t>
  </si>
  <si>
    <t>MAESTRÍA EN CIENCIA DE DATOS VIRTUAL</t>
  </si>
  <si>
    <t>MBA Barranquilla (7a cohorte) 2022</t>
  </si>
  <si>
    <t>MBA Barranquilla (6a cohorte) 2021</t>
  </si>
  <si>
    <t>FACULTAD DE CREACIÒN Y HABITAT</t>
  </si>
  <si>
    <t>Proyección Estudiantes Matriculados 2022-1</t>
  </si>
  <si>
    <t>Ingresos proyectados 2022-2</t>
  </si>
  <si>
    <t>Ingresos proyectados 2022-1</t>
  </si>
  <si>
    <t>Proyección Estudiantes Matriculados 2022-2</t>
  </si>
  <si>
    <t>Total Ingresos proyectados por matrículas 2022</t>
  </si>
  <si>
    <t>MAESTRÍA EN DERECHOS HUMANOS Y CULTURA DE PAZ</t>
  </si>
  <si>
    <t>Tarifa 2022</t>
  </si>
  <si>
    <t>PRESUPUESTO APROBADO 2022</t>
  </si>
  <si>
    <t>Total 2022</t>
  </si>
  <si>
    <t>41600507</t>
  </si>
  <si>
    <t>Matriculas Pregrado Intersemestral 2do</t>
  </si>
  <si>
    <t>41600597</t>
  </si>
  <si>
    <t>Matriculas Pregrado intersemestral 1er</t>
  </si>
  <si>
    <t>Educacion Continua</t>
  </si>
  <si>
    <t>4160950408</t>
  </si>
  <si>
    <t>Ventas libros y revistas facul</t>
  </si>
  <si>
    <t>4210050102</t>
  </si>
  <si>
    <t>Intereses largo plazo</t>
  </si>
  <si>
    <t>4210050105</t>
  </si>
  <si>
    <t>Intereses a particulares</t>
  </si>
  <si>
    <t>4210050201</t>
  </si>
  <si>
    <t>Intereses Vivienda</t>
  </si>
  <si>
    <t>42954301</t>
  </si>
  <si>
    <t>TOTAL DIVERSOS</t>
  </si>
  <si>
    <t>42301001</t>
  </si>
  <si>
    <t>Asistencia tecnica</t>
  </si>
  <si>
    <t>51101501</t>
  </si>
  <si>
    <t>Auditoria externa</t>
  </si>
  <si>
    <t>51159503</t>
  </si>
  <si>
    <t>De Delineacion Urbana</t>
  </si>
  <si>
    <t>51359505</t>
  </si>
  <si>
    <t>Entrenadores</t>
  </si>
  <si>
    <t>5195950304</t>
  </si>
  <si>
    <t>Public_Diario Oficial y Gaceta</t>
  </si>
  <si>
    <t>53952501</t>
  </si>
  <si>
    <t>5315</t>
  </si>
  <si>
    <t>GASTOS EXTRAORDINARIOS</t>
  </si>
  <si>
    <t>53152001</t>
  </si>
  <si>
    <t>Total GASTOS EXTRAORDINARIOS</t>
  </si>
  <si>
    <t>IMPUESTO DE RENTA Y COMPLEMETARIO</t>
  </si>
  <si>
    <t>Total IMPUESTO DE RENTA Y COMPLEMETARIO</t>
  </si>
  <si>
    <t>30 de noviembre de 2021</t>
  </si>
  <si>
    <t>Valor de los proyectos 2022</t>
  </si>
  <si>
    <t>Presupuesto aprobado 2022</t>
  </si>
  <si>
    <t>Recursos para inversiones 2022</t>
  </si>
  <si>
    <t>Otros conceptos 2021-2022</t>
  </si>
  <si>
    <t>Valores de matrícula 2021-2022</t>
  </si>
  <si>
    <t>Proyectos 2022</t>
  </si>
  <si>
    <t>CONEXIÓN JAVERIANA</t>
  </si>
  <si>
    <t>Otros Conceptos 2021-2022</t>
  </si>
  <si>
    <t>Valores de matrícula 2021 - 2022</t>
  </si>
  <si>
    <t>Edificio Administrativo ala 2</t>
  </si>
  <si>
    <t>Remodelación Villa Javier para el Instituto de Estudios Interculturales</t>
  </si>
  <si>
    <t>8.4</t>
  </si>
  <si>
    <t>12. Planeación Universitaria 2022-2025</t>
  </si>
  <si>
    <t>Valor total del proyecto para 2022 (millones de pesos)</t>
  </si>
  <si>
    <t>RECURSOS PARA INVERSIONES 2022</t>
  </si>
  <si>
    <t>Remodelación  Casa Santa Maria de los Farallones, fase II</t>
  </si>
  <si>
    <t xml:space="preserve"> Edificio de Laboratorio de OMICAS, Etapa 2</t>
  </si>
  <si>
    <t xml:space="preserve">            </t>
  </si>
  <si>
    <t>Construcción de un sedimentador de lodos para la recuperación de humedales</t>
  </si>
  <si>
    <t xml:space="preserve">Renovación tecnológica de la red LAN y servidores físicos </t>
  </si>
  <si>
    <t>9. Inversión en  muebles y enseres, maquinaria y equipo y bienes bibliográficos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</si>
</sst>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&quot;$&quot;#,##0.0"/>
    <numFmt numFmtId="169" formatCode="_(* #,##0_);_(* \(#,##0\);_(* &quot;-&quot;??_);_(@_)"/>
    <numFmt numFmtId="170" formatCode="_-&quot;$&quot;* #,##0_-;\-&quot;$&quot;* #,##0_-;_-&quot;$&quot;* &quot;-&quot;??_-;_-@_-"/>
    <numFmt numFmtId="171" formatCode="0.0%"/>
    <numFmt numFmtId="172" formatCode="&quot;$&quot;#,##0"/>
    <numFmt numFmtId="173" formatCode="&quot;$&quot;\ #,##0.0"/>
    <numFmt numFmtId="174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b/>
      <sz val="16"/>
      <color rgb="FF0062A1"/>
      <name val="Verdana"/>
      <family val="2"/>
    </font>
    <font>
      <sz val="14"/>
      <color rgb="FF0062A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4" fillId="0" borderId="0"/>
    <xf numFmtId="167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8" borderId="0">
      <alignment horizontal="left" vertical="center" indent="1"/>
    </xf>
    <xf numFmtId="0" fontId="2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4" fillId="0" borderId="0"/>
    <xf numFmtId="41" fontId="5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169" fontId="0" fillId="0" borderId="0" xfId="1" applyNumberFormat="1" applyFont="1"/>
    <xf numFmtId="0" fontId="15" fillId="0" borderId="0" xfId="3" applyFont="1" applyFill="1" applyBorder="1" applyAlignment="1">
      <alignment horizontal="left"/>
    </xf>
    <xf numFmtId="0" fontId="18" fillId="0" borderId="28" xfId="0" applyFont="1" applyBorder="1"/>
    <xf numFmtId="3" fontId="18" fillId="0" borderId="28" xfId="0" applyNumberFormat="1" applyFont="1" applyBorder="1"/>
    <xf numFmtId="173" fontId="0" fillId="0" borderId="0" xfId="0" applyNumberFormat="1"/>
    <xf numFmtId="0" fontId="20" fillId="2" borderId="0" xfId="0" applyFont="1" applyFill="1" applyBorder="1"/>
    <xf numFmtId="0" fontId="20" fillId="2" borderId="0" xfId="0" applyFont="1" applyFill="1" applyBorder="1" applyAlignment="1"/>
    <xf numFmtId="0" fontId="20" fillId="7" borderId="0" xfId="0" applyFont="1" applyFill="1" applyBorder="1" applyAlignment="1"/>
    <xf numFmtId="0" fontId="21" fillId="2" borderId="0" xfId="0" applyFont="1" applyFill="1" applyBorder="1"/>
    <xf numFmtId="0" fontId="22" fillId="2" borderId="0" xfId="0" applyFont="1" applyFill="1" applyBorder="1"/>
    <xf numFmtId="0" fontId="23" fillId="8" borderId="0" xfId="11">
      <alignment horizontal="left" vertical="center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1" fillId="2" borderId="24" xfId="0" applyNumberFormat="1" applyFont="1" applyFill="1" applyBorder="1" applyAlignment="1">
      <alignment horizontal="center" vertical="center"/>
    </xf>
    <xf numFmtId="0" fontId="0" fillId="2" borderId="11" xfId="0" applyFont="1" applyFill="1" applyBorder="1"/>
    <xf numFmtId="1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168" fontId="0" fillId="2" borderId="3" xfId="0" applyNumberFormat="1" applyFont="1" applyFill="1" applyBorder="1" applyAlignment="1">
      <alignment horizontal="center" vertical="center"/>
    </xf>
    <xf numFmtId="0" fontId="0" fillId="2" borderId="13" xfId="0" applyFont="1" applyFill="1" applyBorder="1"/>
    <xf numFmtId="0" fontId="2" fillId="2" borderId="10" xfId="0" applyFont="1" applyFill="1" applyBorder="1" applyAlignment="1">
      <alignment horizontal="justify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68" fontId="0" fillId="2" borderId="14" xfId="0" applyNumberFormat="1" applyFont="1" applyFill="1" applyBorder="1" applyAlignment="1">
      <alignment horizontal="center" vertical="center"/>
    </xf>
    <xf numFmtId="168" fontId="1" fillId="2" borderId="17" xfId="0" applyNumberFormat="1" applyFont="1" applyFill="1" applyBorder="1" applyAlignment="1">
      <alignment horizontal="center" vertical="center"/>
    </xf>
    <xf numFmtId="0" fontId="0" fillId="2" borderId="34" xfId="0" applyFont="1" applyFill="1" applyBorder="1"/>
    <xf numFmtId="0" fontId="2" fillId="2" borderId="35" xfId="0" applyFont="1" applyFill="1" applyBorder="1" applyAlignment="1">
      <alignment horizontal="justify" vertical="center" wrapText="1"/>
    </xf>
    <xf numFmtId="0" fontId="0" fillId="2" borderId="26" xfId="0" applyFont="1" applyFill="1" applyBorder="1" applyAlignment="1">
      <alignment horizontal="center" vertical="center"/>
    </xf>
    <xf numFmtId="0" fontId="0" fillId="2" borderId="26" xfId="0" applyFont="1" applyFill="1" applyBorder="1"/>
    <xf numFmtId="168" fontId="0" fillId="2" borderId="36" xfId="0" applyNumberFormat="1" applyFont="1" applyFill="1" applyBorder="1" applyAlignment="1">
      <alignment horizontal="center" vertical="center"/>
    </xf>
    <xf numFmtId="168" fontId="1" fillId="2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 wrapText="1"/>
    </xf>
    <xf numFmtId="172" fontId="1" fillId="2" borderId="7" xfId="0" applyNumberFormat="1" applyFont="1" applyFill="1" applyBorder="1" applyAlignment="1">
      <alignment horizontal="center" vertical="center"/>
    </xf>
    <xf numFmtId="0" fontId="0" fillId="2" borderId="33" xfId="0" applyFont="1" applyFill="1" applyBorder="1"/>
    <xf numFmtId="0" fontId="0" fillId="2" borderId="27" xfId="0" applyFont="1" applyFill="1" applyBorder="1" applyAlignment="1">
      <alignment horizontal="center" vertical="center"/>
    </xf>
    <xf numFmtId="0" fontId="0" fillId="2" borderId="27" xfId="0" applyFont="1" applyFill="1" applyBorder="1"/>
    <xf numFmtId="168" fontId="0" fillId="2" borderId="32" xfId="0" applyNumberFormat="1" applyFont="1" applyFill="1" applyBorder="1" applyAlignment="1">
      <alignment horizontal="center" vertical="center"/>
    </xf>
    <xf numFmtId="17" fontId="0" fillId="2" borderId="2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1" fillId="2" borderId="6" xfId="0" applyFont="1" applyFill="1" applyBorder="1"/>
    <xf numFmtId="0" fontId="0" fillId="2" borderId="19" xfId="0" applyFont="1" applyFill="1" applyBorder="1"/>
    <xf numFmtId="0" fontId="0" fillId="2" borderId="31" xfId="0" applyFont="1" applyFill="1" applyBorder="1"/>
    <xf numFmtId="168" fontId="4" fillId="2" borderId="3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6" borderId="1" xfId="0" applyFill="1" applyBorder="1"/>
    <xf numFmtId="3" fontId="0" fillId="6" borderId="1" xfId="0" applyNumberFormat="1" applyFill="1" applyBorder="1"/>
    <xf numFmtId="0" fontId="24" fillId="0" borderId="0" xfId="12"/>
    <xf numFmtId="0" fontId="0" fillId="2" borderId="39" xfId="0" applyFont="1" applyFill="1" applyBorder="1"/>
    <xf numFmtId="168" fontId="0" fillId="2" borderId="24" xfId="0" applyNumberFormat="1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0" xfId="0" applyFont="1" applyFill="1" applyBorder="1"/>
    <xf numFmtId="0" fontId="13" fillId="0" borderId="0" xfId="0" applyFont="1" applyBorder="1" applyAlignment="1">
      <alignment horizontal="center"/>
    </xf>
    <xf numFmtId="0" fontId="16" fillId="0" borderId="41" xfId="0" applyFont="1" applyFill="1" applyBorder="1"/>
    <xf numFmtId="0" fontId="16" fillId="0" borderId="41" xfId="0" applyFont="1" applyFill="1" applyBorder="1" applyAlignment="1">
      <alignment horizontal="center"/>
    </xf>
    <xf numFmtId="172" fontId="14" fillId="0" borderId="41" xfId="0" applyNumberFormat="1" applyFont="1" applyFill="1" applyBorder="1" applyAlignment="1">
      <alignment horizontal="center"/>
    </xf>
    <xf numFmtId="0" fontId="13" fillId="0" borderId="0" xfId="3" applyFont="1" applyBorder="1"/>
    <xf numFmtId="0" fontId="25" fillId="0" borderId="38" xfId="0" applyFont="1" applyBorder="1" applyAlignment="1">
      <alignment horizontal="center"/>
    </xf>
    <xf numFmtId="0" fontId="26" fillId="2" borderId="5" xfId="3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70" fontId="27" fillId="0" borderId="6" xfId="13" applyNumberFormat="1" applyFont="1" applyFill="1" applyBorder="1" applyAlignment="1">
      <alignment horizontal="center" vertical="center" wrapText="1"/>
    </xf>
    <xf numFmtId="170" fontId="27" fillId="0" borderId="7" xfId="13" applyNumberFormat="1" applyFont="1" applyFill="1" applyBorder="1" applyAlignment="1">
      <alignment horizontal="center" vertical="center" wrapText="1"/>
    </xf>
    <xf numFmtId="10" fontId="13" fillId="0" borderId="1" xfId="10" applyNumberFormat="1" applyFont="1" applyBorder="1"/>
    <xf numFmtId="0" fontId="25" fillId="9" borderId="8" xfId="0" applyFont="1" applyFill="1" applyBorder="1" applyAlignment="1">
      <alignment vertical="center"/>
    </xf>
    <xf numFmtId="0" fontId="25" fillId="9" borderId="19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172" fontId="14" fillId="0" borderId="0" xfId="0" applyNumberFormat="1" applyFont="1" applyFill="1" applyBorder="1" applyAlignment="1">
      <alignment horizontal="center"/>
    </xf>
    <xf numFmtId="171" fontId="28" fillId="0" borderId="1" xfId="10" applyNumberFormat="1" applyFont="1" applyBorder="1" applyAlignment="1">
      <alignment horizontal="center"/>
    </xf>
    <xf numFmtId="172" fontId="28" fillId="0" borderId="1" xfId="13" applyNumberFormat="1" applyFont="1" applyBorder="1"/>
    <xf numFmtId="10" fontId="14" fillId="0" borderId="0" xfId="10" applyNumberFormat="1" applyFont="1" applyBorder="1"/>
    <xf numFmtId="0" fontId="25" fillId="9" borderId="30" xfId="0" applyFont="1" applyFill="1" applyBorder="1" applyAlignment="1">
      <alignment horizontal="left" vertical="center"/>
    </xf>
    <xf numFmtId="172" fontId="9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left" vertical="center"/>
    </xf>
    <xf numFmtId="174" fontId="25" fillId="9" borderId="2" xfId="1" applyNumberFormat="1" applyFont="1" applyFill="1" applyBorder="1" applyAlignment="1">
      <alignment horizontal="center"/>
    </xf>
    <xf numFmtId="172" fontId="25" fillId="9" borderId="2" xfId="0" applyNumberFormat="1" applyFont="1" applyFill="1" applyBorder="1" applyAlignment="1">
      <alignment horizontal="center"/>
    </xf>
    <xf numFmtId="0" fontId="25" fillId="9" borderId="18" xfId="0" applyFont="1" applyFill="1" applyBorder="1" applyAlignment="1">
      <alignment horizontal="left" vertical="center"/>
    </xf>
    <xf numFmtId="170" fontId="25" fillId="9" borderId="50" xfId="0" applyNumberFormat="1" applyFont="1" applyFill="1" applyBorder="1" applyAlignment="1">
      <alignment horizontal="center"/>
    </xf>
    <xf numFmtId="0" fontId="25" fillId="9" borderId="51" xfId="0" applyFont="1" applyFill="1" applyBorder="1" applyAlignment="1">
      <alignment horizontal="center"/>
    </xf>
    <xf numFmtId="10" fontId="25" fillId="9" borderId="52" xfId="10" applyNumberFormat="1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left" vertical="center"/>
    </xf>
    <xf numFmtId="3" fontId="25" fillId="9" borderId="50" xfId="13" applyNumberFormat="1" applyFont="1" applyFill="1" applyBorder="1" applyAlignment="1">
      <alignment horizontal="center" vertical="center"/>
    </xf>
    <xf numFmtId="172" fontId="25" fillId="9" borderId="50" xfId="13" applyNumberFormat="1" applyFont="1" applyFill="1" applyBorder="1" applyAlignment="1">
      <alignment horizontal="center"/>
    </xf>
    <xf numFmtId="0" fontId="28" fillId="9" borderId="5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/>
    </xf>
    <xf numFmtId="170" fontId="13" fillId="0" borderId="0" xfId="13" applyNumberFormat="1" applyFont="1" applyFill="1" applyBorder="1"/>
    <xf numFmtId="170" fontId="14" fillId="0" borderId="0" xfId="13" applyNumberFormat="1" applyFont="1" applyFill="1" applyBorder="1" applyAlignment="1">
      <alignment horizontal="right"/>
    </xf>
    <xf numFmtId="0" fontId="25" fillId="9" borderId="53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/>
    </xf>
    <xf numFmtId="170" fontId="10" fillId="9" borderId="2" xfId="0" applyNumberFormat="1" applyFont="1" applyFill="1" applyBorder="1" applyAlignment="1">
      <alignment horizontal="center"/>
    </xf>
    <xf numFmtId="171" fontId="10" fillId="9" borderId="2" xfId="10" applyNumberFormat="1" applyFont="1" applyFill="1" applyBorder="1" applyAlignment="1">
      <alignment horizontal="center"/>
    </xf>
    <xf numFmtId="0" fontId="25" fillId="9" borderId="50" xfId="0" applyFont="1" applyFill="1" applyBorder="1" applyAlignment="1">
      <alignment horizontal="center"/>
    </xf>
    <xf numFmtId="0" fontId="10" fillId="9" borderId="50" xfId="0" applyFont="1" applyFill="1" applyBorder="1" applyAlignment="1">
      <alignment horizontal="center"/>
    </xf>
    <xf numFmtId="171" fontId="10" fillId="9" borderId="50" xfId="10" applyNumberFormat="1" applyFont="1" applyFill="1" applyBorder="1" applyAlignment="1">
      <alignment horizontal="center"/>
    </xf>
    <xf numFmtId="3" fontId="10" fillId="9" borderId="50" xfId="13" applyNumberFormat="1" applyFont="1" applyFill="1" applyBorder="1" applyAlignment="1">
      <alignment horizontal="center" vertical="center"/>
    </xf>
    <xf numFmtId="172" fontId="10" fillId="9" borderId="50" xfId="13" applyNumberFormat="1" applyFont="1" applyFill="1" applyBorder="1" applyAlignment="1">
      <alignment horizontal="center"/>
    </xf>
    <xf numFmtId="0" fontId="29" fillId="9" borderId="51" xfId="0" applyFont="1" applyFill="1" applyBorder="1" applyAlignment="1">
      <alignment horizontal="center"/>
    </xf>
    <xf numFmtId="172" fontId="10" fillId="9" borderId="52" xfId="0" applyNumberFormat="1" applyFont="1" applyFill="1" applyBorder="1" applyAlignment="1">
      <alignment horizontal="center" vertical="center"/>
    </xf>
    <xf numFmtId="172" fontId="10" fillId="9" borderId="50" xfId="0" applyNumberFormat="1" applyFont="1" applyFill="1" applyBorder="1" applyAlignment="1">
      <alignment horizontal="center" vertical="center"/>
    </xf>
    <xf numFmtId="172" fontId="10" fillId="9" borderId="4" xfId="0" applyNumberFormat="1" applyFont="1" applyFill="1" applyBorder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24" fillId="0" borderId="0" xfId="12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174" fontId="30" fillId="0" borderId="0" xfId="1" applyNumberFormat="1" applyFont="1" applyFill="1" applyBorder="1" applyAlignment="1">
      <alignment horizontal="left"/>
    </xf>
    <xf numFmtId="43" fontId="13" fillId="0" borderId="0" xfId="1" applyFont="1" applyBorder="1"/>
    <xf numFmtId="167" fontId="13" fillId="0" borderId="0" xfId="3" applyNumberFormat="1" applyFont="1" applyBorder="1"/>
    <xf numFmtId="172" fontId="14" fillId="0" borderId="49" xfId="0" applyNumberFormat="1" applyFont="1" applyFill="1" applyBorder="1" applyAlignment="1">
      <alignment horizontal="center"/>
    </xf>
    <xf numFmtId="172" fontId="14" fillId="0" borderId="57" xfId="0" applyNumberFormat="1" applyFont="1" applyFill="1" applyBorder="1" applyAlignment="1">
      <alignment horizontal="center"/>
    </xf>
    <xf numFmtId="172" fontId="14" fillId="0" borderId="1" xfId="0" applyNumberFormat="1" applyFont="1" applyFill="1" applyBorder="1" applyAlignment="1">
      <alignment horizontal="center"/>
    </xf>
    <xf numFmtId="172" fontId="13" fillId="0" borderId="0" xfId="3" applyNumberFormat="1" applyFont="1" applyBorder="1"/>
    <xf numFmtId="166" fontId="13" fillId="0" borderId="0" xfId="13" applyFont="1" applyBorder="1"/>
    <xf numFmtId="172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171" fontId="28" fillId="0" borderId="1" xfId="10" applyNumberFormat="1" applyFont="1" applyFill="1" applyBorder="1" applyAlignment="1">
      <alignment horizontal="center"/>
    </xf>
    <xf numFmtId="172" fontId="28" fillId="0" borderId="1" xfId="13" applyNumberFormat="1" applyFont="1" applyFill="1" applyBorder="1"/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vertical="center"/>
    </xf>
    <xf numFmtId="0" fontId="13" fillId="0" borderId="0" xfId="3" applyFont="1" applyFill="1" applyBorder="1"/>
    <xf numFmtId="166" fontId="13" fillId="0" borderId="0" xfId="13" applyFont="1" applyFill="1" applyBorder="1"/>
    <xf numFmtId="172" fontId="13" fillId="0" borderId="0" xfId="3" applyNumberFormat="1" applyFont="1" applyFill="1" applyBorder="1"/>
    <xf numFmtId="0" fontId="16" fillId="0" borderId="58" xfId="0" applyFont="1" applyFill="1" applyBorder="1"/>
    <xf numFmtId="0" fontId="16" fillId="0" borderId="58" xfId="0" applyFont="1" applyFill="1" applyBorder="1" applyAlignment="1">
      <alignment horizontal="center" vertical="center"/>
    </xf>
    <xf numFmtId="10" fontId="14" fillId="0" borderId="58" xfId="10" applyNumberFormat="1" applyFont="1" applyBorder="1"/>
    <xf numFmtId="171" fontId="27" fillId="2" borderId="6" xfId="10" applyNumberFormat="1" applyFont="1" applyFill="1" applyBorder="1" applyAlignment="1">
      <alignment horizontal="center" vertical="center" wrapText="1"/>
    </xf>
    <xf numFmtId="170" fontId="27" fillId="2" borderId="6" xfId="13" applyNumberFormat="1" applyFont="1" applyFill="1" applyBorder="1" applyAlignment="1">
      <alignment horizontal="center" vertical="center" wrapText="1"/>
    </xf>
    <xf numFmtId="10" fontId="14" fillId="0" borderId="0" xfId="10" applyNumberFormat="1" applyFont="1" applyFill="1" applyBorder="1"/>
    <xf numFmtId="0" fontId="26" fillId="0" borderId="0" xfId="3" applyFont="1" applyBorder="1"/>
    <xf numFmtId="171" fontId="14" fillId="2" borderId="1" xfId="10" applyNumberFormat="1" applyFont="1" applyFill="1" applyBorder="1" applyAlignment="1">
      <alignment horizontal="center"/>
    </xf>
    <xf numFmtId="17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2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horizontal="center" vertical="center" wrapText="1"/>
    </xf>
    <xf numFmtId="172" fontId="31" fillId="2" borderId="1" xfId="0" applyNumberFormat="1" applyFont="1" applyFill="1" applyBorder="1" applyAlignment="1">
      <alignment horizontal="center"/>
    </xf>
    <xf numFmtId="172" fontId="15" fillId="0" borderId="0" xfId="3" applyNumberFormat="1" applyFont="1" applyFill="1" applyBorder="1" applyAlignment="1">
      <alignment horizontal="left"/>
    </xf>
    <xf numFmtId="0" fontId="0" fillId="2" borderId="50" xfId="0" applyFont="1" applyFill="1" applyBorder="1" applyAlignment="1">
      <alignment horizontal="center" vertical="center"/>
    </xf>
    <xf numFmtId="0" fontId="0" fillId="2" borderId="50" xfId="0" applyFont="1" applyFill="1" applyBorder="1"/>
    <xf numFmtId="0" fontId="0" fillId="2" borderId="60" xfId="0" applyFont="1" applyFill="1" applyBorder="1"/>
    <xf numFmtId="0" fontId="2" fillId="2" borderId="52" xfId="0" applyFont="1" applyFill="1" applyBorder="1" applyAlignment="1">
      <alignment horizontal="justify" vertical="center" wrapText="1"/>
    </xf>
    <xf numFmtId="17" fontId="0" fillId="2" borderId="50" xfId="0" applyNumberFormat="1" applyFont="1" applyFill="1" applyBorder="1" applyAlignment="1">
      <alignment horizontal="center" vertical="center"/>
    </xf>
    <xf numFmtId="168" fontId="0" fillId="2" borderId="4" xfId="0" applyNumberFormat="1" applyFont="1" applyFill="1" applyBorder="1" applyAlignment="1">
      <alignment horizontal="center" vertical="center"/>
    </xf>
    <xf numFmtId="10" fontId="26" fillId="0" borderId="0" xfId="10" applyNumberFormat="1" applyFont="1" applyBorder="1"/>
    <xf numFmtId="172" fontId="14" fillId="2" borderId="41" xfId="0" applyNumberFormat="1" applyFont="1" applyFill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10" fontId="14" fillId="2" borderId="58" xfId="10" applyNumberFormat="1" applyFont="1" applyFill="1" applyBorder="1"/>
    <xf numFmtId="172" fontId="9" fillId="2" borderId="2" xfId="0" applyNumberFormat="1" applyFont="1" applyFill="1" applyBorder="1" applyAlignment="1">
      <alignment horizontal="center"/>
    </xf>
    <xf numFmtId="170" fontId="25" fillId="2" borderId="50" xfId="0" applyNumberFormat="1" applyFont="1" applyFill="1" applyBorder="1" applyAlignment="1">
      <alignment horizontal="center"/>
    </xf>
    <xf numFmtId="10" fontId="25" fillId="2" borderId="52" xfId="10" applyNumberFormat="1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left"/>
    </xf>
    <xf numFmtId="170" fontId="26" fillId="2" borderId="41" xfId="13" applyNumberFormat="1" applyFont="1" applyFill="1" applyBorder="1"/>
    <xf numFmtId="170" fontId="31" fillId="2" borderId="41" xfId="13" applyNumberFormat="1" applyFont="1" applyFill="1" applyBorder="1" applyAlignment="1">
      <alignment horizontal="right"/>
    </xf>
    <xf numFmtId="10" fontId="14" fillId="2" borderId="1" xfId="10" applyNumberFormat="1" applyFont="1" applyFill="1" applyBorder="1" applyAlignment="1">
      <alignment horizontal="center"/>
    </xf>
    <xf numFmtId="10" fontId="10" fillId="9" borderId="50" xfId="10" applyNumberFormat="1" applyFont="1" applyFill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171" fontId="10" fillId="2" borderId="2" xfId="0" applyNumberFormat="1" applyFont="1" applyFill="1" applyBorder="1" applyAlignment="1">
      <alignment horizontal="center"/>
    </xf>
    <xf numFmtId="171" fontId="25" fillId="2" borderId="51" xfId="0" applyNumberFormat="1" applyFont="1" applyFill="1" applyBorder="1" applyAlignment="1">
      <alignment horizontal="center"/>
    </xf>
    <xf numFmtId="171" fontId="25" fillId="2" borderId="19" xfId="0" applyNumberFormat="1" applyFont="1" applyFill="1" applyBorder="1" applyAlignment="1">
      <alignment vertical="center"/>
    </xf>
    <xf numFmtId="171" fontId="16" fillId="2" borderId="12" xfId="0" applyNumberFormat="1" applyFont="1" applyFill="1" applyBorder="1" applyAlignment="1">
      <alignment horizontal="left"/>
    </xf>
    <xf numFmtId="0" fontId="26" fillId="2" borderId="9" xfId="3" applyFont="1" applyFill="1" applyBorder="1" applyAlignment="1">
      <alignment horizontal="center" vertical="center" wrapText="1"/>
    </xf>
    <xf numFmtId="0" fontId="25" fillId="9" borderId="35" xfId="0" applyFont="1" applyFill="1" applyBorder="1" applyAlignment="1">
      <alignment horizontal="left" vertical="center"/>
    </xf>
    <xf numFmtId="10" fontId="14" fillId="2" borderId="41" xfId="0" applyNumberFormat="1" applyFont="1" applyFill="1" applyBorder="1" applyAlignment="1">
      <alignment horizontal="center"/>
    </xf>
    <xf numFmtId="172" fontId="14" fillId="10" borderId="1" xfId="0" applyNumberFormat="1" applyFont="1" applyFill="1" applyBorder="1" applyAlignment="1">
      <alignment horizontal="center"/>
    </xf>
    <xf numFmtId="0" fontId="17" fillId="10" borderId="1" xfId="0" applyFont="1" applyFill="1" applyBorder="1"/>
    <xf numFmtId="10" fontId="14" fillId="10" borderId="1" xfId="10" applyNumberFormat="1" applyFont="1" applyFill="1" applyBorder="1" applyAlignment="1">
      <alignment horizontal="center"/>
    </xf>
    <xf numFmtId="171" fontId="28" fillId="10" borderId="1" xfId="10" applyNumberFormat="1" applyFont="1" applyFill="1" applyBorder="1" applyAlignment="1">
      <alignment horizontal="center"/>
    </xf>
    <xf numFmtId="172" fontId="28" fillId="10" borderId="1" xfId="13" applyNumberFormat="1" applyFont="1" applyFill="1" applyBorder="1"/>
    <xf numFmtId="3" fontId="14" fillId="10" borderId="26" xfId="0" applyNumberFormat="1" applyFont="1" applyFill="1" applyBorder="1" applyAlignment="1">
      <alignment vertical="center"/>
    </xf>
    <xf numFmtId="0" fontId="13" fillId="10" borderId="0" xfId="3" applyFont="1" applyFill="1" applyBorder="1"/>
    <xf numFmtId="166" fontId="13" fillId="10" borderId="0" xfId="13" applyFont="1" applyFill="1" applyBorder="1"/>
    <xf numFmtId="172" fontId="13" fillId="10" borderId="0" xfId="3" applyNumberFormat="1" applyFont="1" applyFill="1" applyBorder="1"/>
    <xf numFmtId="3" fontId="14" fillId="10" borderId="27" xfId="0" applyNumberFormat="1" applyFont="1" applyFill="1" applyBorder="1" applyAlignment="1">
      <alignment vertical="center"/>
    </xf>
    <xf numFmtId="10" fontId="27" fillId="11" borderId="6" xfId="0" applyNumberFormat="1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vertical="center"/>
    </xf>
    <xf numFmtId="172" fontId="14" fillId="11" borderId="0" xfId="0" applyNumberFormat="1" applyFont="1" applyFill="1" applyBorder="1" applyAlignment="1">
      <alignment horizontal="center"/>
    </xf>
    <xf numFmtId="10" fontId="31" fillId="10" borderId="1" xfId="10" applyNumberFormat="1" applyFont="1" applyFill="1" applyBorder="1" applyAlignment="1">
      <alignment horizontal="center"/>
    </xf>
    <xf numFmtId="3" fontId="14" fillId="10" borderId="1" xfId="0" applyNumberFormat="1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vertical="center"/>
    </xf>
    <xf numFmtId="0" fontId="14" fillId="10" borderId="1" xfId="0" applyFont="1" applyFill="1" applyBorder="1" applyAlignment="1">
      <alignment horizontal="center" vertical="center"/>
    </xf>
    <xf numFmtId="0" fontId="17" fillId="12" borderId="1" xfId="0" applyFont="1" applyFill="1" applyBorder="1"/>
    <xf numFmtId="0" fontId="17" fillId="13" borderId="42" xfId="0" applyFont="1" applyFill="1" applyBorder="1"/>
    <xf numFmtId="0" fontId="17" fillId="13" borderId="55" xfId="0" applyFont="1" applyFill="1" applyBorder="1"/>
    <xf numFmtId="0" fontId="17" fillId="13" borderId="55" xfId="0" applyFont="1" applyFill="1" applyBorder="1" applyAlignment="1">
      <alignment horizontal="center" vertical="center"/>
    </xf>
    <xf numFmtId="172" fontId="14" fillId="13" borderId="46" xfId="0" applyNumberFormat="1" applyFont="1" applyFill="1" applyBorder="1" applyAlignment="1">
      <alignment horizontal="center"/>
    </xf>
    <xf numFmtId="171" fontId="14" fillId="13" borderId="1" xfId="10" applyNumberFormat="1" applyFont="1" applyFill="1" applyBorder="1" applyAlignment="1">
      <alignment horizontal="center"/>
    </xf>
    <xf numFmtId="171" fontId="28" fillId="13" borderId="1" xfId="10" applyNumberFormat="1" applyFont="1" applyFill="1" applyBorder="1" applyAlignment="1">
      <alignment horizontal="center"/>
    </xf>
    <xf numFmtId="172" fontId="28" fillId="13" borderId="1" xfId="13" applyNumberFormat="1" applyFont="1" applyFill="1" applyBorder="1"/>
    <xf numFmtId="0" fontId="14" fillId="13" borderId="1" xfId="0" applyFont="1" applyFill="1" applyBorder="1" applyAlignment="1">
      <alignment horizontal="center" vertical="center"/>
    </xf>
    <xf numFmtId="165" fontId="14" fillId="13" borderId="1" xfId="0" applyNumberFormat="1" applyFont="1" applyFill="1" applyBorder="1" applyAlignment="1">
      <alignment vertical="center"/>
    </xf>
    <xf numFmtId="0" fontId="13" fillId="13" borderId="0" xfId="3" applyFont="1" applyFill="1" applyBorder="1"/>
    <xf numFmtId="166" fontId="13" fillId="13" borderId="0" xfId="13" applyFont="1" applyFill="1" applyBorder="1"/>
    <xf numFmtId="172" fontId="13" fillId="13" borderId="0" xfId="3" applyNumberFormat="1" applyFont="1" applyFill="1" applyBorder="1"/>
    <xf numFmtId="0" fontId="17" fillId="13" borderId="43" xfId="0" applyFont="1" applyFill="1" applyBorder="1"/>
    <xf numFmtId="0" fontId="17" fillId="13" borderId="56" xfId="0" applyFont="1" applyFill="1" applyBorder="1"/>
    <xf numFmtId="0" fontId="17" fillId="13" borderId="56" xfId="0" applyFont="1" applyFill="1" applyBorder="1" applyAlignment="1">
      <alignment horizontal="center" vertical="center"/>
    </xf>
    <xf numFmtId="0" fontId="17" fillId="13" borderId="47" xfId="0" applyFont="1" applyFill="1" applyBorder="1"/>
    <xf numFmtId="0" fontId="17" fillId="13" borderId="57" xfId="0" applyFont="1" applyFill="1" applyBorder="1"/>
    <xf numFmtId="0" fontId="17" fillId="13" borderId="57" xfId="0" applyFont="1" applyFill="1" applyBorder="1" applyAlignment="1">
      <alignment horizontal="center" vertical="center"/>
    </xf>
    <xf numFmtId="172" fontId="14" fillId="13" borderId="1" xfId="0" applyNumberFormat="1" applyFont="1" applyFill="1" applyBorder="1" applyAlignment="1">
      <alignment vertical="center"/>
    </xf>
    <xf numFmtId="0" fontId="17" fillId="13" borderId="1" xfId="0" applyFont="1" applyFill="1" applyBorder="1"/>
    <xf numFmtId="0" fontId="17" fillId="13" borderId="1" xfId="0" applyFont="1" applyFill="1" applyBorder="1" applyAlignment="1">
      <alignment horizontal="center" vertical="center"/>
    </xf>
    <xf numFmtId="172" fontId="31" fillId="13" borderId="1" xfId="0" applyNumberFormat="1" applyFont="1" applyFill="1" applyBorder="1" applyAlignment="1">
      <alignment horizontal="center"/>
    </xf>
    <xf numFmtId="172" fontId="14" fillId="13" borderId="1" xfId="0" applyNumberFormat="1" applyFont="1" applyFill="1" applyBorder="1" applyAlignment="1">
      <alignment horizontal="center"/>
    </xf>
    <xf numFmtId="0" fontId="17" fillId="13" borderId="45" xfId="0" applyFont="1" applyFill="1" applyBorder="1"/>
    <xf numFmtId="0" fontId="17" fillId="14" borderId="43" xfId="0" applyFont="1" applyFill="1" applyBorder="1"/>
    <xf numFmtId="0" fontId="17" fillId="14" borderId="56" xfId="0" applyFont="1" applyFill="1" applyBorder="1"/>
    <xf numFmtId="0" fontId="17" fillId="14" borderId="56" xfId="0" applyFont="1" applyFill="1" applyBorder="1" applyAlignment="1">
      <alignment horizontal="center" vertical="center"/>
    </xf>
    <xf numFmtId="172" fontId="14" fillId="14" borderId="46" xfId="0" applyNumberFormat="1" applyFont="1" applyFill="1" applyBorder="1" applyAlignment="1">
      <alignment horizontal="center"/>
    </xf>
    <xf numFmtId="171" fontId="28" fillId="14" borderId="1" xfId="10" applyNumberFormat="1" applyFont="1" applyFill="1" applyBorder="1" applyAlignment="1">
      <alignment horizontal="center"/>
    </xf>
    <xf numFmtId="172" fontId="28" fillId="14" borderId="1" xfId="13" applyNumberFormat="1" applyFont="1" applyFill="1" applyBorder="1"/>
    <xf numFmtId="0" fontId="14" fillId="14" borderId="1" xfId="0" applyFont="1" applyFill="1" applyBorder="1" applyAlignment="1">
      <alignment horizontal="center" vertical="center"/>
    </xf>
    <xf numFmtId="165" fontId="14" fillId="14" borderId="1" xfId="0" applyNumberFormat="1" applyFont="1" applyFill="1" applyBorder="1" applyAlignment="1">
      <alignment vertical="center"/>
    </xf>
    <xf numFmtId="0" fontId="13" fillId="14" borderId="0" xfId="3" applyFont="1" applyFill="1" applyBorder="1"/>
    <xf numFmtId="166" fontId="13" fillId="14" borderId="0" xfId="13" applyFont="1" applyFill="1" applyBorder="1"/>
    <xf numFmtId="172" fontId="13" fillId="14" borderId="0" xfId="3" applyNumberFormat="1" applyFont="1" applyFill="1" applyBorder="1"/>
    <xf numFmtId="0" fontId="17" fillId="13" borderId="54" xfId="0" applyFont="1" applyFill="1" applyBorder="1"/>
    <xf numFmtId="0" fontId="17" fillId="13" borderId="54" xfId="0" applyFont="1" applyFill="1" applyBorder="1" applyAlignment="1">
      <alignment horizontal="center" vertical="center"/>
    </xf>
    <xf numFmtId="172" fontId="31" fillId="10" borderId="1" xfId="0" applyNumberFormat="1" applyFont="1" applyFill="1" applyBorder="1" applyAlignment="1">
      <alignment horizontal="center"/>
    </xf>
    <xf numFmtId="3" fontId="31" fillId="10" borderId="1" xfId="0" applyNumberFormat="1" applyFont="1" applyFill="1" applyBorder="1" applyAlignment="1">
      <alignment horizontal="center" vertical="center"/>
    </xf>
    <xf numFmtId="165" fontId="31" fillId="10" borderId="1" xfId="0" applyNumberFormat="1" applyFont="1" applyFill="1" applyBorder="1" applyAlignment="1">
      <alignment vertical="center"/>
    </xf>
    <xf numFmtId="0" fontId="31" fillId="10" borderId="1" xfId="0" applyFont="1" applyFill="1" applyBorder="1" applyAlignment="1">
      <alignment horizontal="center" vertical="center"/>
    </xf>
    <xf numFmtId="0" fontId="17" fillId="10" borderId="48" xfId="0" applyFont="1" applyFill="1" applyBorder="1"/>
    <xf numFmtId="0" fontId="17" fillId="10" borderId="0" xfId="0" applyFont="1" applyFill="1" applyBorder="1"/>
    <xf numFmtId="172" fontId="14" fillId="10" borderId="46" xfId="0" applyNumberFormat="1" applyFont="1" applyFill="1" applyBorder="1" applyAlignment="1">
      <alignment horizontal="center"/>
    </xf>
    <xf numFmtId="0" fontId="17" fillId="10" borderId="41" xfId="0" applyFont="1" applyFill="1" applyBorder="1"/>
    <xf numFmtId="0" fontId="17" fillId="10" borderId="46" xfId="0" applyFont="1" applyFill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left"/>
    </xf>
    <xf numFmtId="10" fontId="14" fillId="13" borderId="1" xfId="10" applyNumberFormat="1" applyFont="1" applyFill="1" applyBorder="1" applyAlignment="1">
      <alignment horizontal="center"/>
    </xf>
    <xf numFmtId="10" fontId="14" fillId="14" borderId="1" xfId="10" applyNumberFormat="1" applyFont="1" applyFill="1" applyBorder="1" applyAlignment="1">
      <alignment horizontal="center"/>
    </xf>
    <xf numFmtId="0" fontId="17" fillId="10" borderId="42" xfId="0" applyFont="1" applyFill="1" applyBorder="1"/>
    <xf numFmtId="0" fontId="17" fillId="10" borderId="55" xfId="0" applyFont="1" applyFill="1" applyBorder="1"/>
    <xf numFmtId="0" fontId="17" fillId="10" borderId="55" xfId="0" applyFont="1" applyFill="1" applyBorder="1" applyAlignment="1">
      <alignment horizontal="center" vertical="center"/>
    </xf>
    <xf numFmtId="172" fontId="31" fillId="10" borderId="46" xfId="0" applyNumberFormat="1" applyFont="1" applyFill="1" applyBorder="1" applyAlignment="1">
      <alignment horizontal="center"/>
    </xf>
    <xf numFmtId="0" fontId="17" fillId="10" borderId="43" xfId="0" applyFont="1" applyFill="1" applyBorder="1"/>
    <xf numFmtId="0" fontId="17" fillId="10" borderId="56" xfId="0" applyFont="1" applyFill="1" applyBorder="1"/>
    <xf numFmtId="0" fontId="17" fillId="10" borderId="56" xfId="0" applyFont="1" applyFill="1" applyBorder="1" applyAlignment="1">
      <alignment horizontal="center" vertical="center"/>
    </xf>
    <xf numFmtId="0" fontId="17" fillId="10" borderId="47" xfId="0" applyFont="1" applyFill="1" applyBorder="1"/>
    <xf numFmtId="0" fontId="17" fillId="10" borderId="57" xfId="0" applyFont="1" applyFill="1" applyBorder="1"/>
    <xf numFmtId="0" fontId="17" fillId="10" borderId="57" xfId="0" applyFont="1" applyFill="1" applyBorder="1" applyAlignment="1">
      <alignment horizontal="center" vertical="center"/>
    </xf>
    <xf numFmtId="0" fontId="17" fillId="10" borderId="45" xfId="0" applyFont="1" applyFill="1" applyBorder="1"/>
    <xf numFmtId="172" fontId="31" fillId="10" borderId="44" xfId="0" applyNumberFormat="1" applyFont="1" applyFill="1" applyBorder="1" applyAlignment="1">
      <alignment horizontal="center"/>
    </xf>
    <xf numFmtId="0" fontId="17" fillId="10" borderId="54" xfId="0" applyFont="1" applyFill="1" applyBorder="1"/>
    <xf numFmtId="0" fontId="17" fillId="10" borderId="5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65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43" fontId="0" fillId="0" borderId="0" xfId="1" applyFont="1"/>
    <xf numFmtId="0" fontId="3" fillId="2" borderId="63" xfId="0" applyFont="1" applyFill="1" applyBorder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168" fontId="0" fillId="0" borderId="3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/>
    </xf>
    <xf numFmtId="10" fontId="25" fillId="0" borderId="52" xfId="1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vertical="center"/>
    </xf>
    <xf numFmtId="3" fontId="25" fillId="0" borderId="50" xfId="13" applyNumberFormat="1" applyFont="1" applyFill="1" applyBorder="1" applyAlignment="1">
      <alignment horizontal="center" vertical="center"/>
    </xf>
    <xf numFmtId="172" fontId="25" fillId="0" borderId="50" xfId="13" applyNumberFormat="1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  <xf numFmtId="10" fontId="27" fillId="0" borderId="6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/>
    <xf numFmtId="0" fontId="0" fillId="0" borderId="0" xfId="0" applyFill="1"/>
    <xf numFmtId="41" fontId="0" fillId="0" borderId="0" xfId="15" applyFont="1" applyFill="1"/>
    <xf numFmtId="0" fontId="25" fillId="0" borderId="12" xfId="0" applyFont="1" applyFill="1" applyBorder="1" applyAlignment="1">
      <alignment horizontal="left" vertical="center"/>
    </xf>
    <xf numFmtId="0" fontId="25" fillId="0" borderId="52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17" fontId="0" fillId="2" borderId="22" xfId="0" applyNumberFormat="1" applyFont="1" applyFill="1" applyBorder="1" applyAlignment="1">
      <alignment horizontal="center" vertical="center"/>
    </xf>
    <xf numFmtId="0" fontId="24" fillId="0" borderId="0" xfId="12" applyFont="1"/>
    <xf numFmtId="0" fontId="5" fillId="0" borderId="0" xfId="0" applyFont="1" applyBorder="1"/>
    <xf numFmtId="0" fontId="18" fillId="4" borderId="0" xfId="0" applyFont="1" applyFill="1" applyBorder="1" applyAlignment="1">
      <alignment horizontal="center"/>
    </xf>
    <xf numFmtId="3" fontId="5" fillId="0" borderId="0" xfId="0" applyNumberFormat="1" applyFont="1" applyBorder="1"/>
    <xf numFmtId="0" fontId="5" fillId="3" borderId="0" xfId="0" applyFont="1" applyFill="1" applyBorder="1"/>
    <xf numFmtId="3" fontId="5" fillId="3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5" borderId="0" xfId="0" applyFont="1" applyFill="1" applyBorder="1"/>
    <xf numFmtId="3" fontId="5" fillId="5" borderId="0" xfId="0" applyNumberFormat="1" applyFont="1" applyFill="1" applyBorder="1"/>
    <xf numFmtId="0" fontId="24" fillId="0" borderId="0" xfId="12" applyBorder="1"/>
    <xf numFmtId="0" fontId="24" fillId="0" borderId="0" xfId="12" applyFill="1"/>
    <xf numFmtId="0" fontId="25" fillId="0" borderId="38" xfId="0" applyFont="1" applyFill="1" applyBorder="1" applyAlignment="1">
      <alignment horizontal="center"/>
    </xf>
    <xf numFmtId="171" fontId="27" fillId="0" borderId="6" xfId="1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left" vertical="center"/>
    </xf>
    <xf numFmtId="171" fontId="10" fillId="0" borderId="2" xfId="0" applyNumberFormat="1" applyFont="1" applyFill="1" applyBorder="1" applyAlignment="1">
      <alignment horizontal="center"/>
    </xf>
    <xf numFmtId="174" fontId="25" fillId="0" borderId="2" xfId="1" applyNumberFormat="1" applyFont="1" applyFill="1" applyBorder="1" applyAlignment="1">
      <alignment horizontal="center"/>
    </xf>
    <xf numFmtId="172" fontId="25" fillId="0" borderId="2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left" vertical="center"/>
    </xf>
    <xf numFmtId="170" fontId="25" fillId="0" borderId="50" xfId="0" applyNumberFormat="1" applyFont="1" applyFill="1" applyBorder="1" applyAlignment="1">
      <alignment horizontal="center"/>
    </xf>
    <xf numFmtId="171" fontId="25" fillId="0" borderId="51" xfId="0" applyNumberFormat="1" applyFont="1" applyFill="1" applyBorder="1" applyAlignment="1">
      <alignment horizontal="center"/>
    </xf>
    <xf numFmtId="171" fontId="25" fillId="0" borderId="1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left" vertical="center"/>
    </xf>
    <xf numFmtId="0" fontId="25" fillId="0" borderId="35" xfId="0" applyFont="1" applyFill="1" applyBorder="1" applyAlignment="1">
      <alignment horizontal="left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170" fontId="10" fillId="0" borderId="2" xfId="0" applyNumberFormat="1" applyFont="1" applyFill="1" applyBorder="1" applyAlignment="1">
      <alignment horizontal="center"/>
    </xf>
    <xf numFmtId="171" fontId="10" fillId="0" borderId="2" xfId="10" applyNumberFormat="1" applyFont="1" applyFill="1" applyBorder="1" applyAlignment="1">
      <alignment horizontal="center"/>
    </xf>
    <xf numFmtId="0" fontId="25" fillId="0" borderId="50" xfId="0" applyFont="1" applyFill="1" applyBorder="1" applyAlignment="1">
      <alignment horizontal="center"/>
    </xf>
    <xf numFmtId="10" fontId="10" fillId="0" borderId="50" xfId="10" applyNumberFormat="1" applyFont="1" applyFill="1" applyBorder="1" applyAlignment="1">
      <alignment horizontal="center"/>
    </xf>
    <xf numFmtId="171" fontId="10" fillId="0" borderId="50" xfId="10" applyNumberFormat="1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3" fontId="10" fillId="0" borderId="50" xfId="13" applyNumberFormat="1" applyFont="1" applyFill="1" applyBorder="1" applyAlignment="1">
      <alignment horizontal="center" vertical="center"/>
    </xf>
    <xf numFmtId="172" fontId="10" fillId="0" borderId="50" xfId="13" applyNumberFormat="1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172" fontId="10" fillId="0" borderId="52" xfId="0" applyNumberFormat="1" applyFont="1" applyFill="1" applyBorder="1" applyAlignment="1">
      <alignment horizontal="center" vertical="center"/>
    </xf>
    <xf numFmtId="172" fontId="10" fillId="0" borderId="50" xfId="0" applyNumberFormat="1" applyFont="1" applyFill="1" applyBorder="1" applyAlignment="1">
      <alignment horizontal="center" vertical="center"/>
    </xf>
    <xf numFmtId="172" fontId="10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3" fillId="0" borderId="0" xfId="0" applyFont="1" applyFill="1" applyBorder="1"/>
    <xf numFmtId="0" fontId="36" fillId="0" borderId="0" xfId="3" applyFont="1" applyFill="1" applyBorder="1"/>
    <xf numFmtId="0" fontId="24" fillId="0" borderId="0" xfId="12" applyFont="1" applyFill="1"/>
    <xf numFmtId="0" fontId="24" fillId="0" borderId="0" xfId="12" applyFont="1" applyFill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5" fillId="0" borderId="0" xfId="0" applyFont="1" applyFill="1"/>
    <xf numFmtId="0" fontId="33" fillId="0" borderId="0" xfId="3" applyFont="1" applyFill="1" applyBorder="1" applyAlignment="1">
      <alignment horizontal="left"/>
    </xf>
    <xf numFmtId="0" fontId="33" fillId="0" borderId="0" xfId="3" applyFont="1" applyFill="1" applyBorder="1" applyAlignment="1">
      <alignment horizontal="center" vertical="center"/>
    </xf>
    <xf numFmtId="165" fontId="33" fillId="0" borderId="0" xfId="3" applyNumberFormat="1" applyFont="1" applyFill="1" applyBorder="1" applyAlignment="1">
      <alignment horizontal="left"/>
    </xf>
    <xf numFmtId="172" fontId="33" fillId="0" borderId="0" xfId="3" applyNumberFormat="1" applyFont="1" applyFill="1" applyBorder="1" applyAlignment="1">
      <alignment horizontal="left"/>
    </xf>
    <xf numFmtId="41" fontId="33" fillId="0" borderId="0" xfId="15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27" fillId="0" borderId="5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27" fillId="0" borderId="0" xfId="3" applyFont="1" applyFill="1" applyBorder="1"/>
    <xf numFmtId="0" fontId="37" fillId="0" borderId="41" xfId="0" applyFont="1" applyFill="1" applyBorder="1"/>
    <xf numFmtId="0" fontId="37" fillId="0" borderId="41" xfId="0" applyFont="1" applyFill="1" applyBorder="1" applyAlignment="1">
      <alignment horizontal="center" vertical="center"/>
    </xf>
    <xf numFmtId="0" fontId="37" fillId="0" borderId="4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72" fontId="38" fillId="0" borderId="0" xfId="0" applyNumberFormat="1" applyFont="1" applyFill="1" applyBorder="1" applyAlignment="1">
      <alignment horizontal="center"/>
    </xf>
    <xf numFmtId="0" fontId="33" fillId="0" borderId="0" xfId="3" applyFont="1" applyFill="1" applyBorder="1"/>
    <xf numFmtId="0" fontId="39" fillId="0" borderId="1" xfId="0" applyFont="1" applyFill="1" applyBorder="1"/>
    <xf numFmtId="172" fontId="39" fillId="0" borderId="1" xfId="0" applyNumberFormat="1" applyFont="1" applyFill="1" applyBorder="1" applyAlignment="1">
      <alignment horizontal="center"/>
    </xf>
    <xf numFmtId="10" fontId="39" fillId="0" borderId="1" xfId="10" applyNumberFormat="1" applyFont="1" applyFill="1" applyBorder="1" applyAlignment="1">
      <alignment horizontal="center"/>
    </xf>
    <xf numFmtId="171" fontId="39" fillId="0" borderId="1" xfId="10" applyNumberFormat="1" applyFont="1" applyFill="1" applyBorder="1" applyAlignment="1">
      <alignment horizontal="center"/>
    </xf>
    <xf numFmtId="172" fontId="39" fillId="0" borderId="1" xfId="13" applyNumberFormat="1" applyFont="1" applyFill="1" applyBorder="1"/>
    <xf numFmtId="166" fontId="33" fillId="0" borderId="0" xfId="13" applyFont="1" applyFill="1" applyBorder="1"/>
    <xf numFmtId="172" fontId="33" fillId="0" borderId="0" xfId="3" applyNumberFormat="1" applyFont="1" applyFill="1" applyBorder="1"/>
    <xf numFmtId="0" fontId="39" fillId="0" borderId="1" xfId="0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Fill="1" applyBorder="1" applyAlignment="1">
      <alignment vertical="center"/>
    </xf>
    <xf numFmtId="172" fontId="38" fillId="0" borderId="41" xfId="0" applyNumberFormat="1" applyFont="1" applyFill="1" applyBorder="1" applyAlignment="1">
      <alignment horizontal="center"/>
    </xf>
    <xf numFmtId="10" fontId="38" fillId="0" borderId="41" xfId="0" applyNumberFormat="1" applyFont="1" applyFill="1" applyBorder="1" applyAlignment="1">
      <alignment horizontal="center"/>
    </xf>
    <xf numFmtId="172" fontId="38" fillId="0" borderId="49" xfId="0" applyNumberFormat="1" applyFont="1" applyFill="1" applyBorder="1" applyAlignment="1">
      <alignment horizontal="center"/>
    </xf>
    <xf numFmtId="172" fontId="38" fillId="0" borderId="1" xfId="0" applyNumberFormat="1" applyFont="1" applyFill="1" applyBorder="1" applyAlignment="1">
      <alignment horizontal="center"/>
    </xf>
    <xf numFmtId="172" fontId="38" fillId="0" borderId="57" xfId="0" applyNumberFormat="1" applyFont="1" applyFill="1" applyBorder="1" applyAlignment="1">
      <alignment horizontal="center"/>
    </xf>
    <xf numFmtId="166" fontId="27" fillId="0" borderId="0" xfId="13" applyFont="1" applyFill="1" applyBorder="1"/>
    <xf numFmtId="172" fontId="27" fillId="0" borderId="0" xfId="3" applyNumberFormat="1" applyFont="1" applyFill="1" applyBorder="1"/>
    <xf numFmtId="10" fontId="38" fillId="0" borderId="1" xfId="10" applyNumberFormat="1" applyFont="1" applyFill="1" applyBorder="1" applyAlignment="1">
      <alignment horizontal="center"/>
    </xf>
    <xf numFmtId="165" fontId="39" fillId="0" borderId="1" xfId="0" applyNumberFormat="1" applyFont="1" applyFill="1" applyBorder="1" applyAlignment="1">
      <alignment horizontal="center" vertical="center"/>
    </xf>
    <xf numFmtId="0" fontId="37" fillId="0" borderId="58" xfId="0" applyFont="1" applyFill="1" applyBorder="1"/>
    <xf numFmtId="0" fontId="37" fillId="0" borderId="58" xfId="0" applyFont="1" applyFill="1" applyBorder="1" applyAlignment="1">
      <alignment horizontal="center" vertical="center"/>
    </xf>
    <xf numFmtId="10" fontId="38" fillId="0" borderId="58" xfId="10" applyNumberFormat="1" applyFont="1" applyFill="1" applyBorder="1"/>
    <xf numFmtId="10" fontId="38" fillId="0" borderId="0" xfId="10" applyNumberFormat="1" applyFont="1" applyFill="1" applyBorder="1"/>
    <xf numFmtId="0" fontId="39" fillId="0" borderId="66" xfId="0" applyFont="1" applyFill="1" applyBorder="1"/>
    <xf numFmtId="172" fontId="39" fillId="0" borderId="46" xfId="0" applyNumberFormat="1" applyFont="1" applyFill="1" applyBorder="1" applyAlignment="1">
      <alignment horizontal="center"/>
    </xf>
    <xf numFmtId="0" fontId="39" fillId="0" borderId="21" xfId="0" applyFont="1" applyFill="1" applyBorder="1" applyAlignment="1">
      <alignment horizontal="center" vertical="center"/>
    </xf>
    <xf numFmtId="172" fontId="27" fillId="0" borderId="0" xfId="13" applyNumberFormat="1" applyFont="1" applyFill="1" applyBorder="1"/>
    <xf numFmtId="171" fontId="37" fillId="0" borderId="12" xfId="0" applyNumberFormat="1" applyFont="1" applyFill="1" applyBorder="1" applyAlignment="1">
      <alignment horizontal="left"/>
    </xf>
    <xf numFmtId="0" fontId="37" fillId="0" borderId="12" xfId="0" applyFont="1" applyFill="1" applyBorder="1" applyAlignment="1">
      <alignment horizontal="left"/>
    </xf>
    <xf numFmtId="172" fontId="39" fillId="0" borderId="1" xfId="0" applyNumberFormat="1" applyFont="1" applyFill="1" applyBorder="1" applyAlignment="1">
      <alignment vertical="center"/>
    </xf>
    <xf numFmtId="171" fontId="38" fillId="0" borderId="1" xfId="10" applyNumberFormat="1" applyFont="1" applyFill="1" applyBorder="1" applyAlignment="1">
      <alignment horizontal="center"/>
    </xf>
    <xf numFmtId="170" fontId="27" fillId="0" borderId="41" xfId="13" applyNumberFormat="1" applyFont="1" applyFill="1" applyBorder="1"/>
    <xf numFmtId="170" fontId="27" fillId="0" borderId="0" xfId="13" applyNumberFormat="1" applyFont="1" applyFill="1" applyBorder="1"/>
    <xf numFmtId="0" fontId="39" fillId="0" borderId="10" xfId="0" applyFont="1" applyFill="1" applyBorder="1" applyAlignment="1">
      <alignment horizontal="center" vertical="center"/>
    </xf>
    <xf numFmtId="0" fontId="39" fillId="0" borderId="62" xfId="0" applyFont="1" applyFill="1" applyBorder="1"/>
    <xf numFmtId="172" fontId="39" fillId="0" borderId="10" xfId="0" applyNumberFormat="1" applyFont="1" applyFill="1" applyBorder="1" applyAlignment="1">
      <alignment horizontal="center"/>
    </xf>
    <xf numFmtId="0" fontId="37" fillId="0" borderId="49" xfId="0" applyFont="1" applyFill="1" applyBorder="1"/>
    <xf numFmtId="0" fontId="37" fillId="0" borderId="1" xfId="0" applyFont="1" applyFill="1" applyBorder="1"/>
    <xf numFmtId="0" fontId="37" fillId="0" borderId="1" xfId="0" applyFont="1" applyFill="1" applyBorder="1" applyAlignment="1">
      <alignment horizontal="center" vertical="center"/>
    </xf>
    <xf numFmtId="172" fontId="38" fillId="0" borderId="10" xfId="0" applyNumberFormat="1" applyFont="1" applyFill="1" applyBorder="1" applyAlignment="1">
      <alignment horizontal="center"/>
    </xf>
    <xf numFmtId="170" fontId="38" fillId="0" borderId="41" xfId="13" applyNumberFormat="1" applyFont="1" applyFill="1" applyBorder="1" applyAlignment="1">
      <alignment horizontal="right"/>
    </xf>
    <xf numFmtId="170" fontId="38" fillId="0" borderId="0" xfId="13" applyNumberFormat="1" applyFont="1" applyFill="1" applyBorder="1" applyAlignment="1">
      <alignment horizontal="right"/>
    </xf>
    <xf numFmtId="0" fontId="39" fillId="0" borderId="69" xfId="0" applyFont="1" applyFill="1" applyBorder="1"/>
    <xf numFmtId="172" fontId="39" fillId="0" borderId="56" xfId="0" applyNumberFormat="1" applyFont="1" applyFill="1" applyBorder="1" applyAlignment="1">
      <alignment horizontal="center"/>
    </xf>
    <xf numFmtId="0" fontId="39" fillId="0" borderId="67" xfId="0" applyFont="1" applyFill="1" applyBorder="1"/>
    <xf numFmtId="0" fontId="39" fillId="0" borderId="68" xfId="0" applyFont="1" applyFill="1" applyBorder="1"/>
    <xf numFmtId="172" fontId="39" fillId="0" borderId="54" xfId="0" applyNumberFormat="1" applyFont="1" applyFill="1" applyBorder="1" applyAlignment="1">
      <alignment horizontal="center"/>
    </xf>
    <xf numFmtId="172" fontId="39" fillId="0" borderId="29" xfId="0" applyNumberFormat="1" applyFont="1" applyFill="1" applyBorder="1" applyAlignment="1">
      <alignment horizontal="center"/>
    </xf>
    <xf numFmtId="172" fontId="39" fillId="0" borderId="20" xfId="13" applyNumberFormat="1" applyFont="1" applyFill="1" applyBorder="1"/>
    <xf numFmtId="165" fontId="39" fillId="0" borderId="27" xfId="0" applyNumberFormat="1" applyFont="1" applyFill="1" applyBorder="1" applyAlignment="1">
      <alignment vertical="center"/>
    </xf>
    <xf numFmtId="0" fontId="37" fillId="0" borderId="26" xfId="0" applyFont="1" applyFill="1" applyBorder="1"/>
    <xf numFmtId="0" fontId="37" fillId="0" borderId="26" xfId="0" applyFont="1" applyFill="1" applyBorder="1" applyAlignment="1">
      <alignment horizontal="center" vertical="center"/>
    </xf>
    <xf numFmtId="171" fontId="38" fillId="0" borderId="26" xfId="10" applyNumberFormat="1" applyFont="1" applyFill="1" applyBorder="1" applyAlignment="1">
      <alignment horizontal="center"/>
    </xf>
    <xf numFmtId="0" fontId="27" fillId="0" borderId="0" xfId="3" applyFont="1" applyFill="1" applyBorder="1" applyAlignment="1">
      <alignment horizontal="center" vertical="center"/>
    </xf>
    <xf numFmtId="10" fontId="27" fillId="0" borderId="0" xfId="10" applyNumberFormat="1" applyFont="1" applyFill="1" applyBorder="1"/>
    <xf numFmtId="43" fontId="27" fillId="0" borderId="0" xfId="1" applyFont="1" applyFill="1" applyBorder="1"/>
    <xf numFmtId="167" fontId="27" fillId="0" borderId="0" xfId="3" applyNumberFormat="1" applyFont="1" applyFill="1" applyBorder="1"/>
    <xf numFmtId="0" fontId="39" fillId="0" borderId="0" xfId="3" applyFont="1"/>
    <xf numFmtId="0" fontId="40" fillId="0" borderId="0" xfId="8" applyFont="1"/>
    <xf numFmtId="10" fontId="40" fillId="0" borderId="0" xfId="8" applyNumberFormat="1" applyFont="1"/>
    <xf numFmtId="0" fontId="40" fillId="0" borderId="0" xfId="8" applyFont="1" applyFill="1"/>
    <xf numFmtId="10" fontId="40" fillId="0" borderId="0" xfId="8" applyNumberFormat="1" applyFont="1" applyFill="1"/>
    <xf numFmtId="0" fontId="33" fillId="0" borderId="0" xfId="3" applyFont="1" applyFill="1" applyBorder="1" applyAlignment="1">
      <alignment horizontal="center"/>
    </xf>
    <xf numFmtId="0" fontId="40" fillId="0" borderId="0" xfId="8" applyFont="1" applyBorder="1"/>
    <xf numFmtId="0" fontId="41" fillId="8" borderId="0" xfId="3" applyFont="1" applyFill="1" applyBorder="1" applyAlignment="1">
      <alignment horizontal="center" vertical="center"/>
    </xf>
    <xf numFmtId="0" fontId="40" fillId="0" borderId="0" xfId="8" applyFont="1" applyBorder="1" applyAlignment="1">
      <alignment wrapText="1"/>
    </xf>
    <xf numFmtId="170" fontId="40" fillId="0" borderId="0" xfId="8" applyNumberFormat="1" applyFont="1" applyFill="1" applyBorder="1"/>
    <xf numFmtId="170" fontId="40" fillId="0" borderId="0" xfId="8" applyNumberFormat="1" applyFont="1" applyBorder="1"/>
    <xf numFmtId="10" fontId="40" fillId="0" borderId="0" xfId="7" applyNumberFormat="1" applyFont="1" applyBorder="1"/>
    <xf numFmtId="0" fontId="40" fillId="2" borderId="0" xfId="8" applyFont="1" applyFill="1" applyBorder="1" applyAlignment="1">
      <alignment wrapText="1"/>
    </xf>
    <xf numFmtId="10" fontId="40" fillId="2" borderId="0" xfId="7" applyNumberFormat="1" applyFont="1" applyFill="1" applyBorder="1"/>
    <xf numFmtId="170" fontId="40" fillId="2" borderId="0" xfId="8" applyNumberFormat="1" applyFont="1" applyFill="1" applyBorder="1"/>
    <xf numFmtId="170" fontId="40" fillId="0" borderId="0" xfId="8" applyNumberFormat="1" applyFont="1" applyBorder="1" applyAlignment="1">
      <alignment horizontal="center"/>
    </xf>
    <xf numFmtId="170" fontId="28" fillId="2" borderId="0" xfId="8" applyNumberFormat="1" applyFont="1" applyFill="1" applyBorder="1" applyAlignment="1">
      <alignment vertical="center"/>
    </xf>
    <xf numFmtId="166" fontId="0" fillId="2" borderId="0" xfId="13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2" applyFont="1" applyFill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7" fontId="0" fillId="2" borderId="61" xfId="0" applyNumberFormat="1" applyFont="1" applyFill="1" applyBorder="1" applyAlignment="1">
      <alignment horizontal="center" vertical="center"/>
    </xf>
    <xf numFmtId="17" fontId="0" fillId="2" borderId="12" xfId="0" applyNumberFormat="1" applyFont="1" applyFill="1" applyBorder="1" applyAlignment="1">
      <alignment horizontal="center" vertical="center"/>
    </xf>
    <xf numFmtId="17" fontId="7" fillId="2" borderId="61" xfId="0" applyNumberFormat="1" applyFont="1" applyFill="1" applyBorder="1" applyAlignment="1">
      <alignment horizontal="center" vertical="center"/>
    </xf>
    <xf numFmtId="17" fontId="7" fillId="2" borderId="12" xfId="0" applyNumberFormat="1" applyFont="1" applyFill="1" applyBorder="1" applyAlignment="1">
      <alignment horizontal="center" vertical="center"/>
    </xf>
    <xf numFmtId="17" fontId="7" fillId="2" borderId="51" xfId="0" applyNumberFormat="1" applyFont="1" applyFill="1" applyBorder="1" applyAlignment="1">
      <alignment horizontal="center" vertical="center"/>
    </xf>
    <xf numFmtId="17" fontId="7" fillId="2" borderId="52" xfId="0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165" fontId="39" fillId="0" borderId="26" xfId="0" applyNumberFormat="1" applyFont="1" applyFill="1" applyBorder="1" applyAlignment="1">
      <alignment horizontal="center" vertical="center"/>
    </xf>
    <xf numFmtId="165" fontId="39" fillId="0" borderId="22" xfId="0" applyNumberFormat="1" applyFont="1" applyFill="1" applyBorder="1" applyAlignment="1">
      <alignment horizontal="center" vertical="center"/>
    </xf>
    <xf numFmtId="165" fontId="39" fillId="0" borderId="59" xfId="0" applyNumberFormat="1" applyFont="1" applyFill="1" applyBorder="1" applyAlignment="1">
      <alignment horizontal="center" vertical="center"/>
    </xf>
    <xf numFmtId="165" fontId="39" fillId="0" borderId="27" xfId="0" applyNumberFormat="1" applyFont="1" applyFill="1" applyBorder="1" applyAlignment="1">
      <alignment horizontal="center" vertical="center"/>
    </xf>
    <xf numFmtId="172" fontId="39" fillId="0" borderId="26" xfId="0" applyNumberFormat="1" applyFont="1" applyFill="1" applyBorder="1" applyAlignment="1">
      <alignment horizontal="center" vertical="center" wrapText="1"/>
    </xf>
    <xf numFmtId="172" fontId="39" fillId="0" borderId="27" xfId="0" applyNumberFormat="1" applyFont="1" applyFill="1" applyBorder="1" applyAlignment="1">
      <alignment horizontal="center" vertical="center" wrapText="1"/>
    </xf>
    <xf numFmtId="3" fontId="39" fillId="0" borderId="26" xfId="0" applyNumberFormat="1" applyFont="1" applyFill="1" applyBorder="1" applyAlignment="1">
      <alignment horizontal="center" vertical="center"/>
    </xf>
    <xf numFmtId="3" fontId="39" fillId="0" borderId="27" xfId="0" applyNumberFormat="1" applyFont="1" applyFill="1" applyBorder="1" applyAlignment="1">
      <alignment horizontal="center" vertical="center"/>
    </xf>
    <xf numFmtId="172" fontId="39" fillId="0" borderId="22" xfId="0" applyNumberFormat="1" applyFont="1" applyFill="1" applyBorder="1" applyAlignment="1">
      <alignment horizontal="center" vertical="center" wrapText="1"/>
    </xf>
    <xf numFmtId="172" fontId="39" fillId="0" borderId="26" xfId="0" applyNumberFormat="1" applyFont="1" applyFill="1" applyBorder="1" applyAlignment="1">
      <alignment horizontal="center" vertical="center"/>
    </xf>
    <xf numFmtId="172" fontId="39" fillId="0" borderId="22" xfId="0" applyNumberFormat="1" applyFont="1" applyFill="1" applyBorder="1" applyAlignment="1">
      <alignment horizontal="center" vertical="center"/>
    </xf>
    <xf numFmtId="172" fontId="39" fillId="0" borderId="59" xfId="0" applyNumberFormat="1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59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3" fontId="39" fillId="0" borderId="22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/>
    </xf>
    <xf numFmtId="0" fontId="39" fillId="0" borderId="1" xfId="0" applyFont="1" applyFill="1" applyBorder="1" applyAlignment="1">
      <alignment horizontal="right" vertical="center"/>
    </xf>
    <xf numFmtId="165" fontId="39" fillId="0" borderId="1" xfId="0" applyNumberFormat="1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172" fontId="39" fillId="0" borderId="27" xfId="0" applyNumberFormat="1" applyFont="1" applyFill="1" applyBorder="1" applyAlignment="1">
      <alignment horizontal="center" vertical="center"/>
    </xf>
    <xf numFmtId="165" fontId="39" fillId="0" borderId="26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172" fontId="14" fillId="10" borderId="26" xfId="0" applyNumberFormat="1" applyFont="1" applyFill="1" applyBorder="1" applyAlignment="1">
      <alignment horizontal="center" vertical="center" wrapText="1"/>
    </xf>
    <xf numFmtId="172" fontId="14" fillId="10" borderId="27" xfId="0" applyNumberFormat="1" applyFont="1" applyFill="1" applyBorder="1" applyAlignment="1">
      <alignment horizontal="center" vertical="center" wrapText="1"/>
    </xf>
    <xf numFmtId="3" fontId="14" fillId="10" borderId="26" xfId="0" applyNumberFormat="1" applyFont="1" applyFill="1" applyBorder="1" applyAlignment="1">
      <alignment horizontal="center" vertical="center"/>
    </xf>
    <xf numFmtId="3" fontId="14" fillId="10" borderId="27" xfId="0" applyNumberFormat="1" applyFont="1" applyFill="1" applyBorder="1" applyAlignment="1">
      <alignment horizontal="center" vertical="center"/>
    </xf>
    <xf numFmtId="165" fontId="14" fillId="10" borderId="26" xfId="0" applyNumberFormat="1" applyFont="1" applyFill="1" applyBorder="1" applyAlignment="1">
      <alignment horizontal="center" vertical="center"/>
    </xf>
    <xf numFmtId="165" fontId="14" fillId="10" borderId="27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172" fontId="14" fillId="10" borderId="1" xfId="0" applyNumberFormat="1" applyFont="1" applyFill="1" applyBorder="1" applyAlignment="1">
      <alignment horizontal="center" vertical="center" wrapText="1"/>
    </xf>
    <xf numFmtId="165" fontId="31" fillId="10" borderId="26" xfId="0" applyNumberFormat="1" applyFont="1" applyFill="1" applyBorder="1" applyAlignment="1">
      <alignment horizontal="center" vertical="center"/>
    </xf>
    <xf numFmtId="165" fontId="31" fillId="10" borderId="27" xfId="0" applyNumberFormat="1" applyFont="1" applyFill="1" applyBorder="1" applyAlignment="1">
      <alignment horizontal="center" vertical="center"/>
    </xf>
    <xf numFmtId="165" fontId="31" fillId="10" borderId="22" xfId="0" applyNumberFormat="1" applyFont="1" applyFill="1" applyBorder="1" applyAlignment="1">
      <alignment horizontal="center" vertical="center"/>
    </xf>
    <xf numFmtId="165" fontId="14" fillId="10" borderId="22" xfId="0" applyNumberFormat="1" applyFont="1" applyFill="1" applyBorder="1" applyAlignment="1">
      <alignment horizontal="center" vertical="center"/>
    </xf>
    <xf numFmtId="172" fontId="31" fillId="10" borderId="1" xfId="0" applyNumberFormat="1" applyFont="1" applyFill="1" applyBorder="1" applyAlignment="1">
      <alignment horizontal="center" vertical="center" wrapText="1"/>
    </xf>
    <xf numFmtId="3" fontId="14" fillId="10" borderId="22" xfId="0" applyNumberFormat="1" applyFont="1" applyFill="1" applyBorder="1" applyAlignment="1">
      <alignment horizontal="center" vertical="center"/>
    </xf>
    <xf numFmtId="3" fontId="31" fillId="10" borderId="26" xfId="0" applyNumberFormat="1" applyFont="1" applyFill="1" applyBorder="1" applyAlignment="1">
      <alignment horizontal="center" vertical="center"/>
    </xf>
    <xf numFmtId="3" fontId="31" fillId="10" borderId="22" xfId="0" applyNumberFormat="1" applyFont="1" applyFill="1" applyBorder="1" applyAlignment="1">
      <alignment horizontal="center" vertical="center"/>
    </xf>
    <xf numFmtId="3" fontId="31" fillId="10" borderId="27" xfId="0" applyNumberFormat="1" applyFont="1" applyFill="1" applyBorder="1" applyAlignment="1">
      <alignment horizontal="center" vertical="center"/>
    </xf>
    <xf numFmtId="165" fontId="14" fillId="10" borderId="59" xfId="0" applyNumberFormat="1" applyFont="1" applyFill="1" applyBorder="1" applyAlignment="1">
      <alignment horizontal="center" vertical="center"/>
    </xf>
    <xf numFmtId="0" fontId="17" fillId="10" borderId="41" xfId="0" applyFont="1" applyFill="1" applyBorder="1" applyAlignment="1">
      <alignment horizontal="center" vertical="center"/>
    </xf>
    <xf numFmtId="0" fontId="17" fillId="10" borderId="44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/>
    </xf>
    <xf numFmtId="0" fontId="31" fillId="10" borderId="27" xfId="0" applyFont="1" applyFill="1" applyBorder="1" applyAlignment="1">
      <alignment horizontal="center" vertical="center"/>
    </xf>
    <xf numFmtId="3" fontId="14" fillId="10" borderId="59" xfId="0" applyNumberFormat="1" applyFont="1" applyFill="1" applyBorder="1" applyAlignment="1">
      <alignment horizontal="center" vertical="center"/>
    </xf>
    <xf numFmtId="165" fontId="31" fillId="10" borderId="59" xfId="0" applyNumberFormat="1" applyFont="1" applyFill="1" applyBorder="1" applyAlignment="1">
      <alignment horizontal="center" vertical="center"/>
    </xf>
    <xf numFmtId="3" fontId="31" fillId="10" borderId="59" xfId="0" applyNumberFormat="1" applyFont="1" applyFill="1" applyBorder="1" applyAlignment="1">
      <alignment horizontal="center" vertical="center"/>
    </xf>
    <xf numFmtId="165" fontId="14" fillId="2" borderId="26" xfId="0" applyNumberFormat="1" applyFont="1" applyFill="1" applyBorder="1" applyAlignment="1">
      <alignment horizontal="center" vertical="center"/>
    </xf>
    <xf numFmtId="165" fontId="14" fillId="2" borderId="59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165" fontId="31" fillId="2" borderId="26" xfId="0" applyNumberFormat="1" applyFont="1" applyFill="1" applyBorder="1" applyAlignment="1">
      <alignment horizontal="center" vertical="center"/>
    </xf>
    <xf numFmtId="165" fontId="31" fillId="2" borderId="59" xfId="0" applyNumberFormat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59" xfId="0" applyFont="1" applyFill="1" applyBorder="1" applyAlignment="1">
      <alignment horizontal="center" vertical="center"/>
    </xf>
  </cellXfs>
  <cellStyles count="16">
    <cellStyle name="Encabezado_tabla" xfId="11" xr:uid="{00000000-0005-0000-0000-000000000000}"/>
    <cellStyle name="Hipervínculo" xfId="12" builtinId="8"/>
    <cellStyle name="Millares" xfId="1" builtinId="3"/>
    <cellStyle name="Millares [0]" xfId="15" builtinId="6"/>
    <cellStyle name="Millares 2" xfId="4" xr:uid="{00000000-0005-0000-0000-000004000000}"/>
    <cellStyle name="Millares 3" xfId="5" xr:uid="{00000000-0005-0000-0000-000005000000}"/>
    <cellStyle name="Moneda" xfId="13" builtinId="4"/>
    <cellStyle name="Moneda 2" xfId="6" xr:uid="{00000000-0005-0000-0000-000007000000}"/>
    <cellStyle name="Moneda 3" xfId="9" xr:uid="{00000000-0005-0000-0000-000008000000}"/>
    <cellStyle name="Normal" xfId="0" builtinId="0"/>
    <cellStyle name="Normal 2" xfId="3" xr:uid="{00000000-0005-0000-0000-00000A000000}"/>
    <cellStyle name="Normal 3" xfId="2" xr:uid="{00000000-0005-0000-0000-00000B000000}"/>
    <cellStyle name="Normal 3 2" xfId="8" xr:uid="{00000000-0005-0000-0000-00000C000000}"/>
    <cellStyle name="Normal 4" xfId="14" xr:uid="{00000000-0005-0000-0000-00000D000000}"/>
    <cellStyle name="Porcentaje" xfId="10" builtinId="5"/>
    <cellStyle name="Porcentaje 2" xfId="7" xr:uid="{00000000-0005-0000-0000-00000F000000}"/>
  </cellStyles>
  <dxfs count="0"/>
  <tableStyles count="0" defaultTableStyle="TableStyleMedium2" defaultPivotStyle="PivotStyleLight16"/>
  <colors>
    <mruColors>
      <color rgb="FF9DB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</xdr:col>
      <xdr:colOff>9525</xdr:colOff>
      <xdr:row>11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1525"/>
          <a:ext cx="942975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2057400</xdr:colOff>
      <xdr:row>3</xdr:row>
      <xdr:rowOff>122873</xdr:rowOff>
    </xdr:to>
    <xdr:pic>
      <xdr:nvPicPr>
        <xdr:cNvPr id="6" name="Imagen 5" descr="http://www.javerianacali.edu.co/sites/ujc/files/field/image/puj_logo_azul_copi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57400" cy="6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showGridLines="0" topLeftCell="A10" workbookViewId="0">
      <selection activeCell="B19" sqref="B19"/>
    </sheetView>
  </sheetViews>
  <sheetFormatPr baseColWidth="10" defaultRowHeight="15" x14ac:dyDescent="0.25"/>
  <cols>
    <col min="2" max="2" width="141.42578125" customWidth="1"/>
  </cols>
  <sheetData>
    <row r="1" spans="1:2" x14ac:dyDescent="0.25">
      <c r="A1" s="9"/>
      <c r="B1" s="9"/>
    </row>
    <row r="2" spans="1:2" x14ac:dyDescent="0.25">
      <c r="A2" s="9"/>
    </row>
    <row r="3" spans="1:2" x14ac:dyDescent="0.25">
      <c r="A3" s="9"/>
      <c r="B3" s="9"/>
    </row>
    <row r="4" spans="1:2" x14ac:dyDescent="0.25">
      <c r="A4" s="9"/>
      <c r="B4" s="9"/>
    </row>
    <row r="5" spans="1:2" x14ac:dyDescent="0.25">
      <c r="A5" s="9"/>
      <c r="B5" s="9"/>
    </row>
    <row r="6" spans="1:2" x14ac:dyDescent="0.25">
      <c r="A6" s="9"/>
      <c r="B6" s="9"/>
    </row>
    <row r="7" spans="1:2" x14ac:dyDescent="0.25">
      <c r="A7" s="9"/>
      <c r="B7" s="9"/>
    </row>
    <row r="8" spans="1:2" x14ac:dyDescent="0.25">
      <c r="A8" s="9"/>
      <c r="B8" s="9"/>
    </row>
    <row r="9" spans="1:2" x14ac:dyDescent="0.25">
      <c r="A9" s="9"/>
      <c r="B9" s="9"/>
    </row>
    <row r="10" spans="1:2" x14ac:dyDescent="0.25">
      <c r="A10" s="9"/>
      <c r="B10" s="9"/>
    </row>
    <row r="11" spans="1:2" x14ac:dyDescent="0.25">
      <c r="A11" s="9"/>
      <c r="B11" s="9"/>
    </row>
    <row r="12" spans="1:2" x14ac:dyDescent="0.25">
      <c r="A12" s="10"/>
      <c r="B12" s="11"/>
    </row>
    <row r="13" spans="1:2" x14ac:dyDescent="0.25">
      <c r="A13" s="9"/>
      <c r="B13" s="9"/>
    </row>
    <row r="14" spans="1:2" ht="19.5" x14ac:dyDescent="0.25">
      <c r="A14" s="9"/>
      <c r="B14" s="12" t="s">
        <v>489</v>
      </c>
    </row>
    <row r="15" spans="1:2" ht="18" x14ac:dyDescent="0.25">
      <c r="A15" s="9"/>
      <c r="B15" s="13" t="s">
        <v>491</v>
      </c>
    </row>
    <row r="16" spans="1:2" x14ac:dyDescent="0.25">
      <c r="A16" s="9"/>
      <c r="B16" s="9"/>
    </row>
    <row r="17" spans="1:2" x14ac:dyDescent="0.25">
      <c r="A17" s="9"/>
      <c r="B17" s="14" t="s">
        <v>490</v>
      </c>
    </row>
    <row r="18" spans="1:2" x14ac:dyDescent="0.25">
      <c r="B18" s="54" t="s">
        <v>842</v>
      </c>
    </row>
    <row r="19" spans="1:2" x14ac:dyDescent="0.25">
      <c r="B19" s="54" t="s">
        <v>843</v>
      </c>
    </row>
    <row r="20" spans="1:2" x14ac:dyDescent="0.25">
      <c r="B20" s="54" t="s">
        <v>844</v>
      </c>
    </row>
    <row r="21" spans="1:2" x14ac:dyDescent="0.25">
      <c r="B21" s="54" t="s">
        <v>846</v>
      </c>
    </row>
    <row r="22" spans="1:2" x14ac:dyDescent="0.25">
      <c r="B22" s="54" t="s">
        <v>845</v>
      </c>
    </row>
  </sheetData>
  <hyperlinks>
    <hyperlink ref="B18" location="'Valor de los Proyectos 2022'!A1" display="Valor de los proyectos 2022" xr:uid="{00000000-0004-0000-0000-000000000000}"/>
    <hyperlink ref="B19" location="'Presupuesto 2022'!A1" display="Presupuesto aprobado 2022" xr:uid="{00000000-0004-0000-0000-000001000000}"/>
    <hyperlink ref="B20" location="'Recursos Inversiones 2022'!A1" display="Recursos para inversiones 2022" xr:uid="{00000000-0004-0000-0000-000002000000}"/>
    <hyperlink ref="B21" location="'Valores Matrícula 2021-2022'!A1" display="Valores de matrícula 2021-2022" xr:uid="{00000000-0004-0000-0000-000003000000}"/>
    <hyperlink ref="B22" location="'Otros Conceptos 2022'!A1" display="Otros conceptos 2021-2022" xr:uid="{00000000-0004-0000-0000-000004000000}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showGridLines="0" topLeftCell="A28" zoomScale="80" zoomScaleNormal="80" zoomScaleSheetLayoutView="100" workbookViewId="0"/>
  </sheetViews>
  <sheetFormatPr baseColWidth="10" defaultRowHeight="15" x14ac:dyDescent="0.25"/>
  <cols>
    <col min="1" max="1" width="18.5703125" style="1" customWidth="1"/>
    <col min="2" max="3" width="5.28515625" style="1" customWidth="1"/>
    <col min="4" max="4" width="67" style="2" customWidth="1"/>
    <col min="5" max="8" width="14.85546875" style="1" customWidth="1"/>
    <col min="9" max="9" width="25" style="1" customWidth="1"/>
    <col min="10" max="10" width="24.140625" style="3" customWidth="1"/>
    <col min="11" max="11" width="19.42578125" bestFit="1" customWidth="1"/>
  </cols>
  <sheetData>
    <row r="1" spans="1:11" x14ac:dyDescent="0.25">
      <c r="A1" s="54" t="s">
        <v>494</v>
      </c>
    </row>
    <row r="2" spans="1:11" ht="26.25" x14ac:dyDescent="0.4">
      <c r="B2" s="431" t="s">
        <v>493</v>
      </c>
      <c r="C2" s="431"/>
      <c r="D2" s="431"/>
      <c r="E2" s="431"/>
      <c r="F2" s="431"/>
      <c r="G2" s="431"/>
      <c r="H2" s="431"/>
      <c r="I2" s="431"/>
      <c r="J2" s="431"/>
    </row>
    <row r="3" spans="1:11" ht="21" x14ac:dyDescent="0.35">
      <c r="B3" s="432" t="s">
        <v>847</v>
      </c>
      <c r="C3" s="432"/>
      <c r="D3" s="432"/>
      <c r="E3" s="432"/>
      <c r="F3" s="432"/>
      <c r="G3" s="432"/>
      <c r="H3" s="432"/>
      <c r="I3" s="432"/>
      <c r="J3" s="432"/>
    </row>
    <row r="4" spans="1:11" ht="15.75" thickBot="1" x14ac:dyDescent="0.3"/>
    <row r="5" spans="1:11" ht="48" thickBot="1" x14ac:dyDescent="0.3">
      <c r="B5" s="439" t="s">
        <v>7</v>
      </c>
      <c r="C5" s="440"/>
      <c r="D5" s="441"/>
      <c r="E5" s="15" t="s">
        <v>1</v>
      </c>
      <c r="F5" s="15" t="s">
        <v>2</v>
      </c>
      <c r="G5" s="15" t="s">
        <v>4</v>
      </c>
      <c r="H5" s="15" t="s">
        <v>6</v>
      </c>
      <c r="I5" s="15" t="s">
        <v>5</v>
      </c>
      <c r="J5" s="16" t="s">
        <v>855</v>
      </c>
      <c r="K5" s="270"/>
    </row>
    <row r="6" spans="1:11" ht="19.5" thickBot="1" x14ac:dyDescent="0.3">
      <c r="B6" s="433" t="s">
        <v>668</v>
      </c>
      <c r="C6" s="434"/>
      <c r="D6" s="434"/>
      <c r="E6" s="434"/>
      <c r="F6" s="434"/>
      <c r="G6" s="434"/>
      <c r="H6" s="434"/>
      <c r="I6" s="435"/>
      <c r="J6" s="17">
        <f>SUM(J7:J8)</f>
        <v>10271</v>
      </c>
      <c r="K6" s="269"/>
    </row>
    <row r="7" spans="1:11" ht="15.75" x14ac:dyDescent="0.25">
      <c r="B7" s="18"/>
      <c r="C7" s="261" t="s">
        <v>672</v>
      </c>
      <c r="D7" s="24" t="s">
        <v>488</v>
      </c>
      <c r="E7" s="19">
        <v>44579</v>
      </c>
      <c r="F7" s="19">
        <v>44913</v>
      </c>
      <c r="G7" s="20" t="s">
        <v>8</v>
      </c>
      <c r="H7" s="21"/>
      <c r="I7" s="20" t="s">
        <v>8</v>
      </c>
      <c r="J7" s="22">
        <v>8500</v>
      </c>
      <c r="K7" s="269"/>
    </row>
    <row r="8" spans="1:11" ht="32.25" thickBot="1" x14ac:dyDescent="0.3">
      <c r="B8" s="153"/>
      <c r="C8" s="262" t="s">
        <v>673</v>
      </c>
      <c r="D8" s="154" t="s">
        <v>596</v>
      </c>
      <c r="E8" s="155">
        <v>44562</v>
      </c>
      <c r="F8" s="155">
        <v>44896</v>
      </c>
      <c r="G8" s="151" t="s">
        <v>8</v>
      </c>
      <c r="H8" s="152"/>
      <c r="I8" s="151" t="s">
        <v>8</v>
      </c>
      <c r="J8" s="156">
        <v>1771</v>
      </c>
    </row>
    <row r="9" spans="1:11" x14ac:dyDescent="0.25">
      <c r="B9" s="55"/>
      <c r="C9" s="145"/>
      <c r="D9" s="147"/>
      <c r="E9" s="143"/>
      <c r="F9" s="143"/>
      <c r="G9" s="144"/>
      <c r="H9" s="145"/>
      <c r="I9" s="146"/>
      <c r="J9" s="56"/>
    </row>
    <row r="10" spans="1:11" ht="19.5" thickBot="1" x14ac:dyDescent="0.3">
      <c r="B10" s="433" t="s">
        <v>669</v>
      </c>
      <c r="C10" s="434"/>
      <c r="D10" s="434"/>
      <c r="E10" s="434"/>
      <c r="F10" s="434"/>
      <c r="G10" s="434"/>
      <c r="H10" s="434"/>
      <c r="I10" s="435"/>
      <c r="J10" s="29">
        <f>SUM(J11:J12)</f>
        <v>2102</v>
      </c>
    </row>
    <row r="11" spans="1:11" ht="48.75" customHeight="1" x14ac:dyDescent="0.25">
      <c r="B11" s="23"/>
      <c r="C11" s="260" t="s">
        <v>670</v>
      </c>
      <c r="D11" s="24" t="s">
        <v>0</v>
      </c>
      <c r="E11" s="442" t="s">
        <v>584</v>
      </c>
      <c r="F11" s="443"/>
      <c r="G11" s="26" t="s">
        <v>8</v>
      </c>
      <c r="H11" s="27"/>
      <c r="I11" s="26" t="s">
        <v>8</v>
      </c>
      <c r="J11" s="28">
        <v>1682</v>
      </c>
    </row>
    <row r="12" spans="1:11" ht="48.75" customHeight="1" thickBot="1" x14ac:dyDescent="0.3">
      <c r="B12" s="23"/>
      <c r="C12" s="260" t="s">
        <v>671</v>
      </c>
      <c r="D12" s="24" t="s">
        <v>487</v>
      </c>
      <c r="E12" s="442" t="s">
        <v>584</v>
      </c>
      <c r="F12" s="443"/>
      <c r="G12" s="26" t="s">
        <v>8</v>
      </c>
      <c r="H12" s="27"/>
      <c r="I12" s="26" t="s">
        <v>8</v>
      </c>
      <c r="J12" s="28">
        <v>420</v>
      </c>
    </row>
    <row r="13" spans="1:11" ht="19.5" thickBot="1" x14ac:dyDescent="0.3">
      <c r="B13" s="436" t="s">
        <v>674</v>
      </c>
      <c r="C13" s="437"/>
      <c r="D13" s="437"/>
      <c r="E13" s="437"/>
      <c r="F13" s="437"/>
      <c r="G13" s="437"/>
      <c r="H13" s="437"/>
      <c r="I13" s="438"/>
      <c r="J13" s="35">
        <f>SUM(J14:J15)</f>
        <v>1102</v>
      </c>
    </row>
    <row r="14" spans="1:11" ht="47.25" customHeight="1" x14ac:dyDescent="0.25">
      <c r="B14" s="18"/>
      <c r="C14" s="260" t="s">
        <v>675</v>
      </c>
      <c r="D14" s="36" t="s">
        <v>27</v>
      </c>
      <c r="E14" s="453" t="s">
        <v>584</v>
      </c>
      <c r="F14" s="454"/>
      <c r="G14" s="26" t="s">
        <v>8</v>
      </c>
      <c r="H14" s="21"/>
      <c r="I14" s="26" t="s">
        <v>8</v>
      </c>
      <c r="J14" s="22">
        <v>477</v>
      </c>
    </row>
    <row r="15" spans="1:11" ht="47.25" customHeight="1" thickBot="1" x14ac:dyDescent="0.3">
      <c r="B15" s="30"/>
      <c r="C15" s="263" t="s">
        <v>676</v>
      </c>
      <c r="D15" s="31" t="s">
        <v>597</v>
      </c>
      <c r="E15" s="455" t="s">
        <v>584</v>
      </c>
      <c r="F15" s="456"/>
      <c r="G15" s="32" t="s">
        <v>8</v>
      </c>
      <c r="H15" s="33"/>
      <c r="I15" s="32" t="s">
        <v>8</v>
      </c>
      <c r="J15" s="34">
        <v>625</v>
      </c>
    </row>
    <row r="16" spans="1:11" ht="19.5" customHeight="1" thickBot="1" x14ac:dyDescent="0.3">
      <c r="B16" s="436" t="s">
        <v>677</v>
      </c>
      <c r="C16" s="437"/>
      <c r="D16" s="437"/>
      <c r="E16" s="437"/>
      <c r="F16" s="437"/>
      <c r="G16" s="437"/>
      <c r="H16" s="437"/>
      <c r="I16" s="438"/>
      <c r="J16" s="37">
        <f>SUM(J17:J18)</f>
        <v>200</v>
      </c>
      <c r="K16" s="8"/>
    </row>
    <row r="17" spans="2:10" ht="52.5" customHeight="1" x14ac:dyDescent="0.25">
      <c r="B17" s="23"/>
      <c r="C17" s="260" t="s">
        <v>678</v>
      </c>
      <c r="D17" s="24" t="s">
        <v>495</v>
      </c>
      <c r="E17" s="25">
        <v>44562</v>
      </c>
      <c r="F17" s="25">
        <v>44896</v>
      </c>
      <c r="G17" s="26" t="s">
        <v>8</v>
      </c>
      <c r="H17" s="27"/>
      <c r="I17" s="26" t="s">
        <v>8</v>
      </c>
      <c r="J17" s="28">
        <v>120</v>
      </c>
    </row>
    <row r="18" spans="2:10" ht="52.5" customHeight="1" thickBot="1" x14ac:dyDescent="0.3">
      <c r="B18" s="23"/>
      <c r="C18" s="260" t="s">
        <v>679</v>
      </c>
      <c r="D18" s="24" t="s">
        <v>860</v>
      </c>
      <c r="E18" s="25">
        <v>44562</v>
      </c>
      <c r="F18" s="25">
        <v>44896</v>
      </c>
      <c r="G18" s="26" t="s">
        <v>8</v>
      </c>
      <c r="H18" s="27"/>
      <c r="I18" s="26" t="s">
        <v>8</v>
      </c>
      <c r="J18" s="28">
        <v>80</v>
      </c>
    </row>
    <row r="19" spans="2:10" ht="52.5" customHeight="1" thickBot="1" x14ac:dyDescent="0.3">
      <c r="B19" s="448" t="s">
        <v>680</v>
      </c>
      <c r="C19" s="449"/>
      <c r="D19" s="449"/>
      <c r="E19" s="449"/>
      <c r="F19" s="449"/>
      <c r="G19" s="449"/>
      <c r="H19" s="449"/>
      <c r="I19" s="450"/>
      <c r="J19" s="35">
        <f>SUM(J20:J20)</f>
        <v>1300</v>
      </c>
    </row>
    <row r="20" spans="2:10" ht="52.5" customHeight="1" thickBot="1" x14ac:dyDescent="0.3">
      <c r="B20" s="264"/>
      <c r="C20" s="260" t="s">
        <v>681</v>
      </c>
      <c r="D20" s="24" t="s">
        <v>574</v>
      </c>
      <c r="E20" s="42">
        <v>44562</v>
      </c>
      <c r="F20" s="42">
        <v>44896</v>
      </c>
      <c r="G20" s="32" t="s">
        <v>8</v>
      </c>
      <c r="H20" s="33"/>
      <c r="I20" s="32" t="s">
        <v>8</v>
      </c>
      <c r="J20" s="34">
        <v>1300</v>
      </c>
    </row>
    <row r="21" spans="2:10" ht="42" customHeight="1" thickBot="1" x14ac:dyDescent="0.3">
      <c r="B21" s="436" t="s">
        <v>682</v>
      </c>
      <c r="C21" s="437"/>
      <c r="D21" s="437"/>
      <c r="E21" s="437"/>
      <c r="F21" s="437"/>
      <c r="G21" s="437"/>
      <c r="H21" s="437"/>
      <c r="I21" s="438"/>
      <c r="J21" s="35">
        <f>SUM(J22:J24)</f>
        <v>3660</v>
      </c>
    </row>
    <row r="22" spans="2:10" ht="48.75" customHeight="1" x14ac:dyDescent="0.25">
      <c r="B22" s="18"/>
      <c r="C22" s="261" t="s">
        <v>683</v>
      </c>
      <c r="D22" s="43" t="s">
        <v>497</v>
      </c>
      <c r="E22" s="25">
        <v>44562</v>
      </c>
      <c r="F22" s="25">
        <v>44896</v>
      </c>
      <c r="G22" s="26" t="s">
        <v>8</v>
      </c>
      <c r="H22" s="27"/>
      <c r="I22" s="26" t="s">
        <v>8</v>
      </c>
      <c r="J22" s="22">
        <v>1455</v>
      </c>
    </row>
    <row r="23" spans="2:10" ht="48.75" customHeight="1" x14ac:dyDescent="0.25">
      <c r="B23" s="23"/>
      <c r="C23" s="261" t="s">
        <v>684</v>
      </c>
      <c r="D23" s="43" t="s">
        <v>861</v>
      </c>
      <c r="E23" s="42">
        <v>44562</v>
      </c>
      <c r="F23" s="42">
        <v>44896</v>
      </c>
      <c r="G23" s="26" t="s">
        <v>8</v>
      </c>
      <c r="H23" s="27"/>
      <c r="I23" s="26" t="s">
        <v>8</v>
      </c>
      <c r="J23" s="28">
        <v>1495</v>
      </c>
    </row>
    <row r="24" spans="2:10" ht="48.75" customHeight="1" thickBot="1" x14ac:dyDescent="0.3">
      <c r="B24" s="23"/>
      <c r="C24" s="261" t="s">
        <v>685</v>
      </c>
      <c r="D24" s="43" t="s">
        <v>496</v>
      </c>
      <c r="E24" s="42">
        <v>44562</v>
      </c>
      <c r="F24" s="42">
        <v>44896</v>
      </c>
      <c r="G24" s="26" t="s">
        <v>8</v>
      </c>
      <c r="H24" s="27"/>
      <c r="I24" s="26" t="s">
        <v>8</v>
      </c>
      <c r="J24" s="28">
        <v>710</v>
      </c>
    </row>
    <row r="25" spans="2:10" ht="19.5" thickBot="1" x14ac:dyDescent="0.3">
      <c r="B25" s="436" t="s">
        <v>686</v>
      </c>
      <c r="C25" s="437"/>
      <c r="D25" s="437"/>
      <c r="E25" s="437"/>
      <c r="F25" s="437"/>
      <c r="G25" s="437"/>
      <c r="H25" s="437"/>
      <c r="I25" s="438"/>
      <c r="J25" s="35">
        <f>SUM(J26:J26)</f>
        <v>1010</v>
      </c>
    </row>
    <row r="26" spans="2:10" ht="45" customHeight="1" thickBot="1" x14ac:dyDescent="0.3">
      <c r="B26" s="18"/>
      <c r="C26" s="261" t="s">
        <v>687</v>
      </c>
      <c r="D26" s="36" t="s">
        <v>598</v>
      </c>
      <c r="E26" s="25">
        <v>44562</v>
      </c>
      <c r="F26" s="25">
        <v>44896</v>
      </c>
      <c r="G26" s="26" t="s">
        <v>8</v>
      </c>
      <c r="H26" s="21"/>
      <c r="I26" s="26" t="s">
        <v>8</v>
      </c>
      <c r="J26" s="273">
        <v>1010</v>
      </c>
    </row>
    <row r="27" spans="2:10" ht="45" customHeight="1" thickBot="1" x14ac:dyDescent="0.3">
      <c r="B27" s="436" t="s">
        <v>688</v>
      </c>
      <c r="C27" s="437"/>
      <c r="D27" s="437"/>
      <c r="E27" s="437"/>
      <c r="F27" s="437"/>
      <c r="G27" s="437"/>
      <c r="H27" s="437"/>
      <c r="I27" s="438"/>
      <c r="J27" s="35">
        <f>SUM(J28:J31)</f>
        <v>4302</v>
      </c>
    </row>
    <row r="28" spans="2:10" ht="45" customHeight="1" x14ac:dyDescent="0.25">
      <c r="B28" s="290"/>
      <c r="C28" s="265" t="s">
        <v>689</v>
      </c>
      <c r="D28" s="24" t="s">
        <v>851</v>
      </c>
      <c r="E28" s="19">
        <v>44579</v>
      </c>
      <c r="F28" s="19">
        <v>44913</v>
      </c>
      <c r="G28" s="26"/>
      <c r="H28" s="26" t="s">
        <v>707</v>
      </c>
      <c r="I28" s="26"/>
      <c r="J28" s="28">
        <v>3000</v>
      </c>
    </row>
    <row r="29" spans="2:10" ht="45" customHeight="1" x14ac:dyDescent="0.25">
      <c r="B29" s="291"/>
      <c r="C29" s="266" t="s">
        <v>690</v>
      </c>
      <c r="D29" s="24" t="s">
        <v>852</v>
      </c>
      <c r="E29" s="25">
        <v>44562</v>
      </c>
      <c r="F29" s="25">
        <v>44896</v>
      </c>
      <c r="G29" s="26" t="s">
        <v>8</v>
      </c>
      <c r="H29" s="27"/>
      <c r="I29" s="26" t="s">
        <v>8</v>
      </c>
      <c r="J29" s="28">
        <v>570</v>
      </c>
    </row>
    <row r="30" spans="2:10" ht="45" customHeight="1" x14ac:dyDescent="0.25">
      <c r="B30" s="292"/>
      <c r="C30" s="266" t="s">
        <v>691</v>
      </c>
      <c r="D30" s="24" t="s">
        <v>857</v>
      </c>
      <c r="E30" s="25">
        <v>44562</v>
      </c>
      <c r="F30" s="25">
        <v>44896</v>
      </c>
      <c r="G30" s="26"/>
      <c r="H30" s="27"/>
      <c r="I30" s="26"/>
      <c r="J30" s="28">
        <v>324</v>
      </c>
    </row>
    <row r="31" spans="2:10" ht="45" customHeight="1" thickBot="1" x14ac:dyDescent="0.3">
      <c r="B31" s="293"/>
      <c r="C31" s="266" t="s">
        <v>853</v>
      </c>
      <c r="D31" s="24" t="s">
        <v>858</v>
      </c>
      <c r="E31" s="294">
        <v>44562</v>
      </c>
      <c r="F31" s="294">
        <v>44896</v>
      </c>
      <c r="G31" s="26" t="s">
        <v>8</v>
      </c>
      <c r="H31" s="27"/>
      <c r="I31" s="26" t="s">
        <v>8</v>
      </c>
      <c r="J31" s="28">
        <v>408</v>
      </c>
    </row>
    <row r="32" spans="2:10" ht="45" customHeight="1" thickBot="1" x14ac:dyDescent="0.3">
      <c r="B32" s="436" t="s">
        <v>862</v>
      </c>
      <c r="C32" s="437"/>
      <c r="D32" s="437"/>
      <c r="E32" s="437"/>
      <c r="F32" s="437"/>
      <c r="G32" s="437"/>
      <c r="H32" s="437"/>
      <c r="I32" s="438"/>
      <c r="J32" s="35">
        <f>SUM(J33:J34)</f>
        <v>2200</v>
      </c>
    </row>
    <row r="33" spans="2:11" ht="45" customHeight="1" thickBot="1" x14ac:dyDescent="0.3">
      <c r="B33" s="18"/>
      <c r="C33" s="265" t="s">
        <v>692</v>
      </c>
      <c r="D33" s="24" t="s">
        <v>706</v>
      </c>
      <c r="E33" s="25">
        <v>44562</v>
      </c>
      <c r="F33" s="25">
        <v>44896</v>
      </c>
      <c r="G33" s="26" t="s">
        <v>8</v>
      </c>
      <c r="H33" s="27"/>
      <c r="I33" s="26" t="s">
        <v>8</v>
      </c>
      <c r="J33" s="28">
        <v>1900</v>
      </c>
    </row>
    <row r="34" spans="2:11" ht="45" customHeight="1" thickBot="1" x14ac:dyDescent="0.3">
      <c r="B34" s="23"/>
      <c r="C34" s="266" t="s">
        <v>693</v>
      </c>
      <c r="D34" s="24" t="s">
        <v>573</v>
      </c>
      <c r="E34" s="42">
        <v>44562</v>
      </c>
      <c r="F34" s="42">
        <v>44896</v>
      </c>
      <c r="G34" s="26" t="s">
        <v>8</v>
      </c>
      <c r="H34" s="27"/>
      <c r="I34" s="26" t="s">
        <v>8</v>
      </c>
      <c r="J34" s="28">
        <v>300</v>
      </c>
    </row>
    <row r="35" spans="2:11" ht="19.5" thickBot="1" x14ac:dyDescent="0.3">
      <c r="B35" s="436" t="s">
        <v>694</v>
      </c>
      <c r="C35" s="437"/>
      <c r="D35" s="437"/>
      <c r="E35" s="437"/>
      <c r="F35" s="437"/>
      <c r="G35" s="437"/>
      <c r="H35" s="437"/>
      <c r="I35" s="438"/>
      <c r="J35" s="35">
        <f>SUM(J36:J36)</f>
        <v>2200</v>
      </c>
    </row>
    <row r="36" spans="2:11" ht="66.75" customHeight="1" thickBot="1" x14ac:dyDescent="0.3">
      <c r="B36" s="38"/>
      <c r="C36" s="261" t="s">
        <v>695</v>
      </c>
      <c r="D36" s="44" t="s">
        <v>498</v>
      </c>
      <c r="E36" s="451" t="s">
        <v>584</v>
      </c>
      <c r="F36" s="452"/>
      <c r="G36" s="39" t="s">
        <v>8</v>
      </c>
      <c r="H36" s="40"/>
      <c r="I36" s="39" t="s">
        <v>8</v>
      </c>
      <c r="J36" s="41">
        <v>2200</v>
      </c>
    </row>
    <row r="37" spans="2:11" ht="19.5" thickBot="1" x14ac:dyDescent="0.35">
      <c r="B37" s="446" t="s">
        <v>696</v>
      </c>
      <c r="C37" s="438"/>
      <c r="D37" s="447"/>
      <c r="E37" s="45"/>
      <c r="F37" s="45"/>
      <c r="G37" s="45"/>
      <c r="H37" s="45"/>
      <c r="I37" s="45"/>
      <c r="J37" s="35">
        <f>SUM(J38:J40)</f>
        <v>576</v>
      </c>
    </row>
    <row r="38" spans="2:11" ht="27" customHeight="1" x14ac:dyDescent="0.25">
      <c r="B38" s="18"/>
      <c r="C38" s="268" t="s">
        <v>697</v>
      </c>
      <c r="D38" s="36" t="s">
        <v>499</v>
      </c>
      <c r="E38" s="25">
        <v>44562</v>
      </c>
      <c r="F38" s="25">
        <v>44896</v>
      </c>
      <c r="G38" s="57" t="s">
        <v>8</v>
      </c>
      <c r="H38" s="58"/>
      <c r="I38" s="57" t="s">
        <v>8</v>
      </c>
      <c r="J38" s="22">
        <v>33</v>
      </c>
    </row>
    <row r="39" spans="2:11" ht="27" customHeight="1" x14ac:dyDescent="0.25">
      <c r="B39" s="38"/>
      <c r="C39" s="260" t="s">
        <v>698</v>
      </c>
      <c r="D39" s="43" t="s">
        <v>572</v>
      </c>
      <c r="E39" s="42">
        <v>44562</v>
      </c>
      <c r="F39" s="42">
        <v>44896</v>
      </c>
      <c r="G39" s="26" t="s">
        <v>8</v>
      </c>
      <c r="H39" s="27"/>
      <c r="I39" s="26" t="s">
        <v>8</v>
      </c>
      <c r="J39" s="41">
        <v>500</v>
      </c>
    </row>
    <row r="40" spans="2:11" ht="27" customHeight="1" thickBot="1" x14ac:dyDescent="0.3">
      <c r="B40" s="55"/>
      <c r="C40" s="144" t="s">
        <v>699</v>
      </c>
      <c r="D40" s="43" t="s">
        <v>500</v>
      </c>
      <c r="E40" s="25">
        <v>44562</v>
      </c>
      <c r="F40" s="25">
        <v>44896</v>
      </c>
      <c r="G40" s="39" t="s">
        <v>8</v>
      </c>
      <c r="H40" s="40"/>
      <c r="I40" s="39" t="s">
        <v>8</v>
      </c>
      <c r="J40" s="41">
        <v>43</v>
      </c>
    </row>
    <row r="41" spans="2:11" ht="44.25" customHeight="1" thickBot="1" x14ac:dyDescent="0.3">
      <c r="B41" s="436" t="s">
        <v>854</v>
      </c>
      <c r="C41" s="437"/>
      <c r="D41" s="437"/>
      <c r="E41" s="437"/>
      <c r="F41" s="437"/>
      <c r="G41" s="437"/>
      <c r="H41" s="437"/>
      <c r="I41" s="438"/>
      <c r="J41" s="35">
        <f>SUM(J42:J42)</f>
        <v>200</v>
      </c>
    </row>
    <row r="42" spans="2:11" ht="44.25" customHeight="1" thickBot="1" x14ac:dyDescent="0.3">
      <c r="B42" s="18"/>
      <c r="C42" s="268" t="s">
        <v>700</v>
      </c>
      <c r="D42" s="36" t="s">
        <v>501</v>
      </c>
      <c r="E42" s="25">
        <v>44579</v>
      </c>
      <c r="F42" s="25">
        <v>44913</v>
      </c>
      <c r="G42" s="20" t="s">
        <v>8</v>
      </c>
      <c r="H42" s="21"/>
      <c r="I42" s="20" t="s">
        <v>8</v>
      </c>
      <c r="J42" s="22">
        <v>200</v>
      </c>
    </row>
    <row r="43" spans="2:11" ht="21.75" thickBot="1" x14ac:dyDescent="0.3">
      <c r="B43" s="444" t="s">
        <v>3</v>
      </c>
      <c r="C43" s="445"/>
      <c r="D43" s="445"/>
      <c r="E43" s="445"/>
      <c r="F43" s="445"/>
      <c r="G43" s="46"/>
      <c r="H43" s="46"/>
      <c r="I43" s="47"/>
      <c r="J43" s="48">
        <f>J19+J37+J35+J25+J21+J16+J13+J10+J6+J41+J27+J32</f>
        <v>29123</v>
      </c>
      <c r="K43" s="430"/>
    </row>
    <row r="45" spans="2:11" x14ac:dyDescent="0.25">
      <c r="J45" s="271"/>
    </row>
  </sheetData>
  <sortState xmlns:xlrd2="http://schemas.microsoft.com/office/spreadsheetml/2017/richdata2" ref="D62:J65">
    <sortCondition descending="1" ref="J62:J65"/>
  </sortState>
  <mergeCells count="21">
    <mergeCell ref="B35:I35"/>
    <mergeCell ref="B43:F43"/>
    <mergeCell ref="B37:D37"/>
    <mergeCell ref="B13:I13"/>
    <mergeCell ref="B16:I16"/>
    <mergeCell ref="B21:I21"/>
    <mergeCell ref="B19:I19"/>
    <mergeCell ref="B41:I41"/>
    <mergeCell ref="B27:I27"/>
    <mergeCell ref="B32:I32"/>
    <mergeCell ref="E36:F36"/>
    <mergeCell ref="E14:F14"/>
    <mergeCell ref="E15:F15"/>
    <mergeCell ref="B2:J2"/>
    <mergeCell ref="B3:J3"/>
    <mergeCell ref="B6:I6"/>
    <mergeCell ref="B10:I10"/>
    <mergeCell ref="B25:I25"/>
    <mergeCell ref="B5:D5"/>
    <mergeCell ref="E11:F11"/>
    <mergeCell ref="E12:F12"/>
  </mergeCells>
  <hyperlinks>
    <hyperlink ref="A1" location="Contenido!A1" display="Volver al menú" xr:uid="{00000000-0004-0000-0100-000000000000}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7"/>
  <sheetViews>
    <sheetView showGridLines="0" zoomScaleNormal="100" workbookViewId="0"/>
  </sheetViews>
  <sheetFormatPr baseColWidth="10" defaultRowHeight="15" x14ac:dyDescent="0.25"/>
  <cols>
    <col min="1" max="1" width="17.7109375" style="296" customWidth="1"/>
    <col min="2" max="2" width="6.85546875" style="296" bestFit="1" customWidth="1"/>
    <col min="3" max="3" width="6.28515625" style="296" bestFit="1" customWidth="1"/>
    <col min="4" max="4" width="42.5703125" style="296" bestFit="1" customWidth="1"/>
    <col min="5" max="5" width="11" style="296" bestFit="1" customWidth="1"/>
    <col min="6" max="6" width="32.28515625" style="296" bestFit="1" customWidth="1"/>
    <col min="7" max="7" width="16.5703125" style="296" bestFit="1" customWidth="1"/>
    <col min="8" max="8" width="14.7109375" style="296" bestFit="1" customWidth="1"/>
    <col min="9" max="16384" width="11.42578125" style="296"/>
  </cols>
  <sheetData>
    <row r="1" spans="1:8" x14ac:dyDescent="0.25">
      <c r="A1" s="304" t="s">
        <v>494</v>
      </c>
    </row>
    <row r="2" spans="1:8" ht="26.25" x14ac:dyDescent="0.4">
      <c r="B2" s="457" t="s">
        <v>493</v>
      </c>
      <c r="C2" s="457"/>
      <c r="D2" s="457"/>
      <c r="E2" s="457"/>
      <c r="F2" s="457"/>
      <c r="G2" s="457"/>
    </row>
    <row r="3" spans="1:8" ht="18.75" x14ac:dyDescent="0.3">
      <c r="B3" s="458" t="s">
        <v>807</v>
      </c>
      <c r="C3" s="458"/>
      <c r="D3" s="458"/>
      <c r="E3" s="458"/>
      <c r="F3" s="458"/>
      <c r="G3" s="458"/>
    </row>
    <row r="4" spans="1:8" ht="18.75" x14ac:dyDescent="0.25">
      <c r="B4" s="459" t="s">
        <v>627</v>
      </c>
      <c r="C4" s="459"/>
      <c r="D4" s="459"/>
      <c r="E4" s="459"/>
      <c r="F4" s="459"/>
      <c r="G4" s="459"/>
    </row>
    <row r="5" spans="1:8" ht="18.75" x14ac:dyDescent="0.25">
      <c r="B5" s="459" t="s">
        <v>841</v>
      </c>
      <c r="C5" s="459"/>
      <c r="D5" s="459"/>
      <c r="E5" s="459"/>
      <c r="F5" s="459"/>
      <c r="G5" s="459"/>
    </row>
    <row r="6" spans="1:8" ht="18.75" x14ac:dyDescent="0.25">
      <c r="B6" s="460" t="s">
        <v>628</v>
      </c>
      <c r="C6" s="460"/>
      <c r="D6" s="460"/>
      <c r="E6" s="460"/>
      <c r="F6" s="460"/>
      <c r="G6" s="460"/>
    </row>
    <row r="8" spans="1:8" x14ac:dyDescent="0.25">
      <c r="B8" s="297" t="s">
        <v>28</v>
      </c>
      <c r="C8" s="297" t="s">
        <v>29</v>
      </c>
      <c r="D8" s="297" t="s">
        <v>30</v>
      </c>
      <c r="E8" s="297" t="s">
        <v>31</v>
      </c>
      <c r="F8" s="297" t="s">
        <v>32</v>
      </c>
      <c r="G8" s="297" t="s">
        <v>808</v>
      </c>
      <c r="H8" s="298"/>
    </row>
    <row r="9" spans="1:8" x14ac:dyDescent="0.25">
      <c r="B9" s="296" t="s">
        <v>33</v>
      </c>
      <c r="C9" s="296" t="s">
        <v>34</v>
      </c>
      <c r="D9" s="296" t="s">
        <v>35</v>
      </c>
      <c r="E9" s="296" t="s">
        <v>36</v>
      </c>
      <c r="F9" s="296" t="s">
        <v>37</v>
      </c>
      <c r="G9" s="298">
        <v>11834154099.999998</v>
      </c>
      <c r="H9" s="298"/>
    </row>
    <row r="10" spans="1:8" x14ac:dyDescent="0.25">
      <c r="E10" s="296" t="s">
        <v>517</v>
      </c>
      <c r="F10" s="296" t="s">
        <v>518</v>
      </c>
      <c r="G10" s="298">
        <v>120000000</v>
      </c>
      <c r="H10" s="298"/>
    </row>
    <row r="11" spans="1:8" x14ac:dyDescent="0.25">
      <c r="E11" s="296" t="s">
        <v>809</v>
      </c>
      <c r="F11" s="296" t="s">
        <v>810</v>
      </c>
      <c r="G11" s="298">
        <v>0</v>
      </c>
    </row>
    <row r="12" spans="1:8" x14ac:dyDescent="0.25">
      <c r="E12" s="296" t="s">
        <v>38</v>
      </c>
      <c r="F12" s="296" t="s">
        <v>39</v>
      </c>
      <c r="G12" s="298">
        <v>59717248647.000008</v>
      </c>
    </row>
    <row r="13" spans="1:8" x14ac:dyDescent="0.25">
      <c r="E13" s="296" t="s">
        <v>811</v>
      </c>
      <c r="F13" s="296" t="s">
        <v>812</v>
      </c>
      <c r="G13" s="298">
        <v>0</v>
      </c>
    </row>
    <row r="14" spans="1:8" x14ac:dyDescent="0.25">
      <c r="E14" s="296" t="s">
        <v>40</v>
      </c>
      <c r="F14" s="296" t="s">
        <v>41</v>
      </c>
      <c r="G14" s="298">
        <v>60784598587.999985</v>
      </c>
    </row>
    <row r="15" spans="1:8" x14ac:dyDescent="0.25">
      <c r="E15" s="296" t="s">
        <v>42</v>
      </c>
      <c r="F15" s="296" t="s">
        <v>43</v>
      </c>
      <c r="G15" s="298">
        <v>10796142277</v>
      </c>
    </row>
    <row r="16" spans="1:8" x14ac:dyDescent="0.25">
      <c r="E16" s="296" t="s">
        <v>44</v>
      </c>
      <c r="F16" s="296" t="s">
        <v>813</v>
      </c>
      <c r="G16" s="298">
        <v>7455000000</v>
      </c>
    </row>
    <row r="17" spans="5:7" x14ac:dyDescent="0.25">
      <c r="E17" s="296" t="s">
        <v>726</v>
      </c>
      <c r="F17" s="296" t="s">
        <v>727</v>
      </c>
      <c r="G17" s="298">
        <v>82789750</v>
      </c>
    </row>
    <row r="18" spans="5:7" x14ac:dyDescent="0.25">
      <c r="E18" s="296" t="s">
        <v>45</v>
      </c>
      <c r="F18" s="296" t="s">
        <v>46</v>
      </c>
      <c r="G18" s="298">
        <v>16100000000</v>
      </c>
    </row>
    <row r="19" spans="5:7" x14ac:dyDescent="0.25">
      <c r="E19" s="296" t="s">
        <v>519</v>
      </c>
      <c r="F19" s="296" t="s">
        <v>520</v>
      </c>
      <c r="G19" s="298">
        <v>0</v>
      </c>
    </row>
    <row r="20" spans="5:7" x14ac:dyDescent="0.25">
      <c r="E20" s="296" t="s">
        <v>47</v>
      </c>
      <c r="F20" s="296" t="s">
        <v>48</v>
      </c>
      <c r="G20" s="298">
        <v>613750000</v>
      </c>
    </row>
    <row r="21" spans="5:7" x14ac:dyDescent="0.25">
      <c r="E21" s="296" t="s">
        <v>49</v>
      </c>
      <c r="F21" s="296" t="s">
        <v>50</v>
      </c>
      <c r="G21" s="298">
        <v>687500000</v>
      </c>
    </row>
    <row r="22" spans="5:7" x14ac:dyDescent="0.25">
      <c r="E22" s="296" t="s">
        <v>51</v>
      </c>
      <c r="F22" s="296" t="s">
        <v>52</v>
      </c>
      <c r="G22" s="298">
        <v>500000000</v>
      </c>
    </row>
    <row r="23" spans="5:7" x14ac:dyDescent="0.25">
      <c r="E23" s="296" t="s">
        <v>53</v>
      </c>
      <c r="F23" s="296" t="s">
        <v>54</v>
      </c>
      <c r="G23" s="298">
        <v>3000000</v>
      </c>
    </row>
    <row r="24" spans="5:7" x14ac:dyDescent="0.25">
      <c r="E24" s="296" t="s">
        <v>55</v>
      </c>
      <c r="F24" s="296" t="s">
        <v>56</v>
      </c>
      <c r="G24" s="298">
        <v>1104854000</v>
      </c>
    </row>
    <row r="25" spans="5:7" x14ac:dyDescent="0.25">
      <c r="E25" s="296" t="s">
        <v>57</v>
      </c>
      <c r="F25" s="296" t="s">
        <v>58</v>
      </c>
      <c r="G25" s="298">
        <v>231400000</v>
      </c>
    </row>
    <row r="26" spans="5:7" x14ac:dyDescent="0.25">
      <c r="E26" s="296" t="s">
        <v>59</v>
      </c>
      <c r="F26" s="296" t="s">
        <v>60</v>
      </c>
      <c r="G26" s="298">
        <v>1350000</v>
      </c>
    </row>
    <row r="27" spans="5:7" x14ac:dyDescent="0.25">
      <c r="E27" s="296" t="s">
        <v>61</v>
      </c>
      <c r="F27" s="296" t="s">
        <v>62</v>
      </c>
      <c r="G27" s="298">
        <v>250000000</v>
      </c>
    </row>
    <row r="28" spans="5:7" x14ac:dyDescent="0.25">
      <c r="E28" s="296" t="s">
        <v>728</v>
      </c>
      <c r="F28" s="296" t="s">
        <v>729</v>
      </c>
      <c r="G28" s="298">
        <v>0</v>
      </c>
    </row>
    <row r="29" spans="5:7" x14ac:dyDescent="0.25">
      <c r="E29" s="296" t="s">
        <v>63</v>
      </c>
      <c r="F29" s="296" t="s">
        <v>64</v>
      </c>
      <c r="G29" s="298">
        <v>636260000</v>
      </c>
    </row>
    <row r="30" spans="5:7" x14ac:dyDescent="0.25">
      <c r="E30" s="296" t="s">
        <v>814</v>
      </c>
      <c r="F30" s="296" t="s">
        <v>815</v>
      </c>
      <c r="G30" s="298">
        <v>0</v>
      </c>
    </row>
    <row r="31" spans="5:7" x14ac:dyDescent="0.25">
      <c r="E31" s="296" t="s">
        <v>730</v>
      </c>
      <c r="F31" s="296" t="s">
        <v>731</v>
      </c>
      <c r="G31" s="298">
        <v>881925000</v>
      </c>
    </row>
    <row r="32" spans="5:7" x14ac:dyDescent="0.25">
      <c r="E32" s="296" t="s">
        <v>732</v>
      </c>
      <c r="F32" s="296" t="s">
        <v>733</v>
      </c>
      <c r="G32" s="298">
        <v>1400075000</v>
      </c>
    </row>
    <row r="33" spans="3:7" x14ac:dyDescent="0.25">
      <c r="D33" s="299" t="s">
        <v>65</v>
      </c>
      <c r="E33" s="299"/>
      <c r="F33" s="299"/>
      <c r="G33" s="300">
        <f>SUM(G9:G32)</f>
        <v>173200047362</v>
      </c>
    </row>
    <row r="34" spans="3:7" x14ac:dyDescent="0.25">
      <c r="C34" s="296" t="s">
        <v>66</v>
      </c>
      <c r="D34" s="296" t="s">
        <v>67</v>
      </c>
      <c r="E34" s="296" t="s">
        <v>68</v>
      </c>
      <c r="F34" s="296" t="s">
        <v>69</v>
      </c>
      <c r="G34" s="298">
        <v>720000000</v>
      </c>
    </row>
    <row r="35" spans="3:7" x14ac:dyDescent="0.25">
      <c r="E35" s="296" t="s">
        <v>816</v>
      </c>
      <c r="F35" s="296" t="s">
        <v>817</v>
      </c>
      <c r="G35" s="298">
        <v>70000000</v>
      </c>
    </row>
    <row r="36" spans="3:7" x14ac:dyDescent="0.25">
      <c r="E36" s="296" t="s">
        <v>70</v>
      </c>
      <c r="F36" s="296" t="s">
        <v>71</v>
      </c>
      <c r="G36" s="298">
        <v>0</v>
      </c>
    </row>
    <row r="37" spans="3:7" x14ac:dyDescent="0.25">
      <c r="E37" s="296" t="s">
        <v>72</v>
      </c>
      <c r="F37" s="296" t="s">
        <v>73</v>
      </c>
      <c r="G37" s="298">
        <v>110000000</v>
      </c>
    </row>
    <row r="38" spans="3:7" x14ac:dyDescent="0.25">
      <c r="E38" s="296" t="s">
        <v>531</v>
      </c>
      <c r="F38" s="296" t="s">
        <v>532</v>
      </c>
      <c r="G38" s="298">
        <v>1700000000</v>
      </c>
    </row>
    <row r="39" spans="3:7" x14ac:dyDescent="0.25">
      <c r="E39" s="296" t="s">
        <v>529</v>
      </c>
      <c r="F39" s="296" t="s">
        <v>530</v>
      </c>
      <c r="G39" s="298">
        <v>220000000</v>
      </c>
    </row>
    <row r="40" spans="3:7" x14ac:dyDescent="0.25">
      <c r="E40" s="296" t="s">
        <v>629</v>
      </c>
      <c r="F40" s="296" t="s">
        <v>630</v>
      </c>
      <c r="G40" s="298">
        <v>120000000</v>
      </c>
    </row>
    <row r="41" spans="3:7" x14ac:dyDescent="0.25">
      <c r="E41" s="296" t="s">
        <v>631</v>
      </c>
      <c r="F41" s="296" t="s">
        <v>74</v>
      </c>
      <c r="G41" s="298">
        <v>500000000</v>
      </c>
    </row>
    <row r="42" spans="3:7" x14ac:dyDescent="0.25">
      <c r="E42" s="296" t="s">
        <v>632</v>
      </c>
      <c r="F42" s="296" t="s">
        <v>633</v>
      </c>
      <c r="G42" s="298">
        <v>100000000</v>
      </c>
    </row>
    <row r="43" spans="3:7" x14ac:dyDescent="0.25">
      <c r="E43" s="296" t="s">
        <v>533</v>
      </c>
      <c r="F43" s="296" t="s">
        <v>534</v>
      </c>
      <c r="G43" s="298">
        <v>3930000000</v>
      </c>
    </row>
    <row r="44" spans="3:7" x14ac:dyDescent="0.25">
      <c r="E44" s="296" t="s">
        <v>708</v>
      </c>
      <c r="F44" s="296" t="s">
        <v>709</v>
      </c>
      <c r="G44" s="298">
        <v>15000000</v>
      </c>
    </row>
    <row r="45" spans="3:7" x14ac:dyDescent="0.25">
      <c r="E45" s="296" t="s">
        <v>818</v>
      </c>
      <c r="F45" s="296" t="s">
        <v>819</v>
      </c>
      <c r="G45" s="298">
        <v>0</v>
      </c>
    </row>
    <row r="46" spans="3:7" x14ac:dyDescent="0.25">
      <c r="E46" s="296" t="s">
        <v>820</v>
      </c>
      <c r="F46" s="296" t="s">
        <v>821</v>
      </c>
      <c r="G46" s="298">
        <v>6000000</v>
      </c>
    </row>
    <row r="47" spans="3:7" x14ac:dyDescent="0.25">
      <c r="D47" s="299" t="s">
        <v>75</v>
      </c>
      <c r="E47" s="299"/>
      <c r="F47" s="299"/>
      <c r="G47" s="300">
        <f>SUM(G34:G46)</f>
        <v>7491000000</v>
      </c>
    </row>
    <row r="48" spans="3:7" x14ac:dyDescent="0.25">
      <c r="C48" s="301">
        <v>4220</v>
      </c>
      <c r="D48" s="296" t="s">
        <v>12</v>
      </c>
      <c r="E48" s="296" t="s">
        <v>76</v>
      </c>
      <c r="F48" s="296" t="s">
        <v>77</v>
      </c>
      <c r="G48" s="298">
        <v>60000000</v>
      </c>
    </row>
    <row r="49" spans="2:7" x14ac:dyDescent="0.25">
      <c r="D49" s="299" t="s">
        <v>78</v>
      </c>
      <c r="E49" s="299"/>
      <c r="F49" s="299"/>
      <c r="G49" s="300">
        <v>60000000</v>
      </c>
    </row>
    <row r="50" spans="2:7" x14ac:dyDescent="0.25">
      <c r="C50" s="301">
        <v>4250</v>
      </c>
      <c r="D50" s="296" t="s">
        <v>79</v>
      </c>
      <c r="E50" s="296" t="s">
        <v>83</v>
      </c>
      <c r="F50" s="296" t="s">
        <v>84</v>
      </c>
      <c r="G50" s="298">
        <v>10800000</v>
      </c>
    </row>
    <row r="51" spans="2:7" x14ac:dyDescent="0.25">
      <c r="C51" s="301"/>
      <c r="D51" s="299" t="s">
        <v>85</v>
      </c>
      <c r="E51" s="299"/>
      <c r="F51" s="299"/>
      <c r="G51" s="300">
        <f>SUM(G50:G50)</f>
        <v>10800000</v>
      </c>
    </row>
    <row r="52" spans="2:7" x14ac:dyDescent="0.25">
      <c r="C52" s="301">
        <v>4255</v>
      </c>
      <c r="D52" s="296" t="s">
        <v>640</v>
      </c>
      <c r="E52" s="296" t="s">
        <v>90</v>
      </c>
      <c r="F52" s="296" t="s">
        <v>91</v>
      </c>
      <c r="G52" s="298">
        <v>30000000</v>
      </c>
    </row>
    <row r="53" spans="2:7" x14ac:dyDescent="0.25">
      <c r="D53" s="299" t="s">
        <v>641</v>
      </c>
      <c r="E53" s="299"/>
      <c r="F53" s="299"/>
      <c r="G53" s="300">
        <v>30000000</v>
      </c>
    </row>
    <row r="54" spans="2:7" x14ac:dyDescent="0.25">
      <c r="C54" s="301">
        <v>4230</v>
      </c>
      <c r="D54" s="296" t="s">
        <v>10</v>
      </c>
      <c r="E54" s="296" t="s">
        <v>824</v>
      </c>
      <c r="F54" s="296" t="s">
        <v>825</v>
      </c>
      <c r="G54" s="298">
        <v>0</v>
      </c>
    </row>
    <row r="55" spans="2:7" x14ac:dyDescent="0.25">
      <c r="D55" s="299" t="s">
        <v>181</v>
      </c>
      <c r="E55" s="299"/>
      <c r="F55" s="299"/>
      <c r="G55" s="300">
        <v>0</v>
      </c>
    </row>
    <row r="56" spans="2:7" x14ac:dyDescent="0.25">
      <c r="C56" s="296">
        <v>4295</v>
      </c>
      <c r="D56" s="296" t="s">
        <v>736</v>
      </c>
      <c r="E56" s="296" t="s">
        <v>87</v>
      </c>
      <c r="F56" s="296" t="s">
        <v>88</v>
      </c>
      <c r="G56" s="298">
        <v>85000000</v>
      </c>
    </row>
    <row r="57" spans="2:7" x14ac:dyDescent="0.25">
      <c r="E57" s="296" t="s">
        <v>634</v>
      </c>
      <c r="F57" s="296" t="s">
        <v>635</v>
      </c>
      <c r="G57" s="298">
        <v>50000</v>
      </c>
    </row>
    <row r="58" spans="2:7" x14ac:dyDescent="0.25">
      <c r="E58" s="296" t="s">
        <v>636</v>
      </c>
      <c r="F58" s="296" t="s">
        <v>637</v>
      </c>
      <c r="G58" s="298">
        <v>10000</v>
      </c>
    </row>
    <row r="59" spans="2:7" x14ac:dyDescent="0.25">
      <c r="E59" s="296" t="s">
        <v>638</v>
      </c>
      <c r="F59" s="296" t="s">
        <v>639</v>
      </c>
      <c r="G59" s="298">
        <v>0</v>
      </c>
    </row>
    <row r="60" spans="2:7" x14ac:dyDescent="0.25">
      <c r="E60" s="296" t="s">
        <v>822</v>
      </c>
      <c r="F60" s="296" t="s">
        <v>392</v>
      </c>
      <c r="G60" s="298">
        <v>0</v>
      </c>
    </row>
    <row r="61" spans="2:7" x14ac:dyDescent="0.25">
      <c r="D61" s="299" t="s">
        <v>823</v>
      </c>
      <c r="E61" s="299"/>
      <c r="F61" s="299"/>
      <c r="G61" s="300">
        <f>SUM(G56:G60)</f>
        <v>85060000</v>
      </c>
    </row>
    <row r="62" spans="2:7" x14ac:dyDescent="0.25">
      <c r="C62" s="296">
        <v>4180</v>
      </c>
      <c r="D62" s="296" t="s">
        <v>86</v>
      </c>
      <c r="E62" s="296" t="s">
        <v>734</v>
      </c>
      <c r="F62" s="296" t="s">
        <v>735</v>
      </c>
      <c r="G62" s="298">
        <v>600000000</v>
      </c>
    </row>
    <row r="63" spans="2:7" x14ac:dyDescent="0.25">
      <c r="D63" s="299" t="s">
        <v>89</v>
      </c>
      <c r="E63" s="299"/>
      <c r="F63" s="299"/>
      <c r="G63" s="300">
        <v>600000000</v>
      </c>
    </row>
    <row r="64" spans="2:7" x14ac:dyDescent="0.25">
      <c r="B64" s="302" t="s">
        <v>92</v>
      </c>
      <c r="C64" s="302"/>
      <c r="D64" s="302"/>
      <c r="E64" s="302"/>
      <c r="F64" s="302"/>
      <c r="G64" s="303">
        <f>+G33+G47+G49+G51+G61+G63+G53</f>
        <v>181476907362</v>
      </c>
    </row>
    <row r="65" spans="2:7" x14ac:dyDescent="0.25">
      <c r="B65" s="296" t="s">
        <v>93</v>
      </c>
      <c r="C65" s="296" t="s">
        <v>94</v>
      </c>
      <c r="D65" s="296" t="s">
        <v>9</v>
      </c>
      <c r="E65" s="296" t="s">
        <v>95</v>
      </c>
      <c r="F65" s="296" t="s">
        <v>96</v>
      </c>
      <c r="G65" s="298">
        <v>32948648230</v>
      </c>
    </row>
    <row r="66" spans="2:7" x14ac:dyDescent="0.25">
      <c r="E66" s="296" t="s">
        <v>97</v>
      </c>
      <c r="F66" s="296" t="s">
        <v>98</v>
      </c>
      <c r="G66" s="298">
        <v>11043851300</v>
      </c>
    </row>
    <row r="67" spans="2:7" x14ac:dyDescent="0.25">
      <c r="E67" s="296" t="s">
        <v>521</v>
      </c>
      <c r="F67" s="296" t="s">
        <v>0</v>
      </c>
      <c r="G67" s="298">
        <v>1681534260</v>
      </c>
    </row>
    <row r="68" spans="2:7" x14ac:dyDescent="0.25">
      <c r="E68" s="296" t="s">
        <v>99</v>
      </c>
      <c r="F68" s="296" t="s">
        <v>100</v>
      </c>
      <c r="G68" s="298">
        <v>30286315</v>
      </c>
    </row>
    <row r="69" spans="2:7" x14ac:dyDescent="0.25">
      <c r="E69" s="296" t="s">
        <v>101</v>
      </c>
      <c r="F69" s="296" t="s">
        <v>102</v>
      </c>
      <c r="G69" s="298">
        <v>289238000</v>
      </c>
    </row>
    <row r="70" spans="2:7" x14ac:dyDescent="0.25">
      <c r="E70" s="296" t="s">
        <v>103</v>
      </c>
      <c r="F70" s="296" t="s">
        <v>104</v>
      </c>
      <c r="G70" s="298">
        <v>20000000</v>
      </c>
    </row>
    <row r="71" spans="2:7" x14ac:dyDescent="0.25">
      <c r="E71" s="296" t="s">
        <v>105</v>
      </c>
      <c r="F71" s="296" t="s">
        <v>106</v>
      </c>
      <c r="G71" s="298">
        <v>10000000</v>
      </c>
    </row>
    <row r="72" spans="2:7" x14ac:dyDescent="0.25">
      <c r="E72" s="296" t="s">
        <v>107</v>
      </c>
      <c r="F72" s="296" t="s">
        <v>108</v>
      </c>
      <c r="G72" s="298">
        <v>7000000</v>
      </c>
    </row>
    <row r="73" spans="2:7" x14ac:dyDescent="0.25">
      <c r="E73" s="296" t="s">
        <v>109</v>
      </c>
      <c r="F73" s="296" t="s">
        <v>110</v>
      </c>
      <c r="G73" s="298">
        <v>1537455888</v>
      </c>
    </row>
    <row r="74" spans="2:7" x14ac:dyDescent="0.25">
      <c r="E74" s="296" t="s">
        <v>111</v>
      </c>
      <c r="F74" s="296" t="s">
        <v>112</v>
      </c>
      <c r="G74" s="298">
        <v>99549200</v>
      </c>
    </row>
    <row r="75" spans="2:7" x14ac:dyDescent="0.25">
      <c r="E75" s="296" t="s">
        <v>113</v>
      </c>
      <c r="F75" s="296" t="s">
        <v>114</v>
      </c>
      <c r="G75" s="298">
        <v>477339500</v>
      </c>
    </row>
    <row r="76" spans="2:7" x14ac:dyDescent="0.25">
      <c r="E76" s="296" t="s">
        <v>115</v>
      </c>
      <c r="F76" s="296" t="s">
        <v>116</v>
      </c>
      <c r="G76" s="298">
        <v>345035550</v>
      </c>
    </row>
    <row r="77" spans="2:7" x14ac:dyDescent="0.25">
      <c r="E77" s="296" t="s">
        <v>117</v>
      </c>
      <c r="F77" s="296" t="s">
        <v>118</v>
      </c>
      <c r="G77" s="298">
        <v>12900000</v>
      </c>
    </row>
    <row r="78" spans="2:7" x14ac:dyDescent="0.25">
      <c r="E78" s="296" t="s">
        <v>119</v>
      </c>
      <c r="F78" s="296" t="s">
        <v>120</v>
      </c>
      <c r="G78" s="298">
        <v>52218000</v>
      </c>
    </row>
    <row r="79" spans="2:7" x14ac:dyDescent="0.25">
      <c r="E79" s="296" t="s">
        <v>121</v>
      </c>
      <c r="F79" s="296" t="s">
        <v>122</v>
      </c>
      <c r="G79" s="298">
        <v>50096521000</v>
      </c>
    </row>
    <row r="80" spans="2:7" x14ac:dyDescent="0.25">
      <c r="E80" s="296" t="s">
        <v>123</v>
      </c>
      <c r="F80" s="296" t="s">
        <v>124</v>
      </c>
      <c r="G80" s="298">
        <v>350000000</v>
      </c>
    </row>
    <row r="81" spans="3:7" x14ac:dyDescent="0.25">
      <c r="E81" s="296" t="s">
        <v>125</v>
      </c>
      <c r="F81" s="296" t="s">
        <v>126</v>
      </c>
      <c r="G81" s="298">
        <v>311390000</v>
      </c>
    </row>
    <row r="82" spans="3:7" x14ac:dyDescent="0.25">
      <c r="E82" s="296" t="s">
        <v>710</v>
      </c>
      <c r="F82" s="296" t="s">
        <v>711</v>
      </c>
      <c r="G82" s="298">
        <v>2280671198</v>
      </c>
    </row>
    <row r="83" spans="3:7" x14ac:dyDescent="0.25">
      <c r="E83" s="296" t="s">
        <v>712</v>
      </c>
      <c r="F83" s="296" t="s">
        <v>713</v>
      </c>
      <c r="G83" s="298">
        <v>4156506900</v>
      </c>
    </row>
    <row r="84" spans="3:7" x14ac:dyDescent="0.25">
      <c r="E84" s="301">
        <v>51052701</v>
      </c>
      <c r="F84" s="296" t="s">
        <v>102</v>
      </c>
      <c r="G84" s="298">
        <v>1288000</v>
      </c>
    </row>
    <row r="85" spans="3:7" x14ac:dyDescent="0.25">
      <c r="E85" s="301">
        <v>510594</v>
      </c>
      <c r="F85" s="296" t="s">
        <v>122</v>
      </c>
      <c r="G85" s="298">
        <v>178123000</v>
      </c>
    </row>
    <row r="86" spans="3:7" x14ac:dyDescent="0.25">
      <c r="E86" s="301">
        <v>510505</v>
      </c>
      <c r="F86" s="296" t="s">
        <v>96</v>
      </c>
      <c r="G86" s="298">
        <v>97955000</v>
      </c>
    </row>
    <row r="87" spans="3:7" x14ac:dyDescent="0.25">
      <c r="D87" s="299" t="s">
        <v>127</v>
      </c>
      <c r="E87" s="299"/>
      <c r="F87" s="299"/>
      <c r="G87" s="300">
        <f>SUM(G65:G86)</f>
        <v>106027511341</v>
      </c>
    </row>
    <row r="88" spans="3:7" x14ac:dyDescent="0.25">
      <c r="C88" s="296" t="s">
        <v>128</v>
      </c>
      <c r="D88" s="296" t="s">
        <v>10</v>
      </c>
      <c r="E88" s="296" t="s">
        <v>642</v>
      </c>
      <c r="F88" s="296" t="s">
        <v>643</v>
      </c>
      <c r="G88" s="298">
        <v>160000000</v>
      </c>
    </row>
    <row r="89" spans="3:7" x14ac:dyDescent="0.25">
      <c r="E89" s="296" t="s">
        <v>826</v>
      </c>
      <c r="F89" s="296" t="s">
        <v>827</v>
      </c>
      <c r="G89" s="298">
        <v>2250000</v>
      </c>
    </row>
    <row r="90" spans="3:7" x14ac:dyDescent="0.25">
      <c r="E90" s="296" t="s">
        <v>129</v>
      </c>
      <c r="F90" s="296" t="s">
        <v>130</v>
      </c>
      <c r="G90" s="298">
        <v>7250000</v>
      </c>
    </row>
    <row r="91" spans="3:7" x14ac:dyDescent="0.25">
      <c r="E91" s="296" t="s">
        <v>131</v>
      </c>
      <c r="F91" s="296" t="s">
        <v>132</v>
      </c>
      <c r="G91" s="298">
        <v>31000000</v>
      </c>
    </row>
    <row r="92" spans="3:7" x14ac:dyDescent="0.25">
      <c r="E92" s="296" t="s">
        <v>762</v>
      </c>
      <c r="F92" s="296" t="s">
        <v>763</v>
      </c>
      <c r="G92" s="298">
        <v>8000000</v>
      </c>
    </row>
    <row r="93" spans="3:7" x14ac:dyDescent="0.25">
      <c r="E93" s="296" t="s">
        <v>133</v>
      </c>
      <c r="F93" s="296" t="s">
        <v>134</v>
      </c>
      <c r="G93" s="298">
        <v>1336312719</v>
      </c>
    </row>
    <row r="94" spans="3:7" x14ac:dyDescent="0.25">
      <c r="E94" s="296" t="s">
        <v>522</v>
      </c>
      <c r="F94" s="296" t="s">
        <v>523</v>
      </c>
      <c r="G94" s="298">
        <v>53000000</v>
      </c>
    </row>
    <row r="95" spans="3:7" x14ac:dyDescent="0.25">
      <c r="E95" s="296" t="s">
        <v>135</v>
      </c>
      <c r="F95" s="296" t="s">
        <v>136</v>
      </c>
      <c r="G95" s="298">
        <v>376892120</v>
      </c>
    </row>
    <row r="96" spans="3:7" x14ac:dyDescent="0.25">
      <c r="E96" s="296" t="s">
        <v>137</v>
      </c>
      <c r="F96" s="296" t="s">
        <v>138</v>
      </c>
      <c r="G96" s="298">
        <v>294000000</v>
      </c>
    </row>
    <row r="97" spans="5:7" x14ac:dyDescent="0.25">
      <c r="E97" s="296" t="s">
        <v>139</v>
      </c>
      <c r="F97" s="296" t="s">
        <v>140</v>
      </c>
      <c r="G97" s="298">
        <v>1657437000</v>
      </c>
    </row>
    <row r="98" spans="5:7" x14ac:dyDescent="0.25">
      <c r="E98" s="296" t="s">
        <v>141</v>
      </c>
      <c r="F98" s="296" t="s">
        <v>142</v>
      </c>
      <c r="G98" s="298">
        <v>807092971</v>
      </c>
    </row>
    <row r="99" spans="5:7" x14ac:dyDescent="0.25">
      <c r="E99" s="296" t="s">
        <v>143</v>
      </c>
      <c r="F99" s="296" t="s">
        <v>144</v>
      </c>
      <c r="G99" s="298">
        <v>94225539</v>
      </c>
    </row>
    <row r="100" spans="5:7" x14ac:dyDescent="0.25">
      <c r="E100" s="296" t="s">
        <v>145</v>
      </c>
      <c r="F100" s="296" t="s">
        <v>146</v>
      </c>
      <c r="G100" s="298">
        <v>326054100</v>
      </c>
    </row>
    <row r="101" spans="5:7" x14ac:dyDescent="0.25">
      <c r="E101" s="296" t="s">
        <v>147</v>
      </c>
      <c r="F101" s="296" t="s">
        <v>148</v>
      </c>
      <c r="G101" s="298">
        <v>808435000</v>
      </c>
    </row>
    <row r="102" spans="5:7" x14ac:dyDescent="0.25">
      <c r="E102" s="296" t="s">
        <v>149</v>
      </c>
      <c r="F102" s="296" t="s">
        <v>150</v>
      </c>
      <c r="G102" s="298">
        <v>61609530</v>
      </c>
    </row>
    <row r="103" spans="5:7" x14ac:dyDescent="0.25">
      <c r="E103" s="296" t="s">
        <v>151</v>
      </c>
      <c r="F103" s="296" t="s">
        <v>152</v>
      </c>
      <c r="G103" s="298">
        <v>2254051665</v>
      </c>
    </row>
    <row r="104" spans="5:7" x14ac:dyDescent="0.25">
      <c r="E104" s="296" t="s">
        <v>153</v>
      </c>
      <c r="F104" s="296" t="s">
        <v>154</v>
      </c>
      <c r="G104" s="298">
        <v>1690780206</v>
      </c>
    </row>
    <row r="105" spans="5:7" x14ac:dyDescent="0.25">
      <c r="E105" s="296" t="s">
        <v>155</v>
      </c>
      <c r="F105" s="296" t="s">
        <v>156</v>
      </c>
      <c r="G105" s="298">
        <v>122386401</v>
      </c>
    </row>
    <row r="106" spans="5:7" x14ac:dyDescent="0.25">
      <c r="E106" s="296" t="s">
        <v>157</v>
      </c>
      <c r="F106" s="296" t="s">
        <v>158</v>
      </c>
      <c r="G106" s="298">
        <v>293471496</v>
      </c>
    </row>
    <row r="107" spans="5:7" x14ac:dyDescent="0.25">
      <c r="E107" s="296" t="s">
        <v>159</v>
      </c>
      <c r="F107" s="296" t="s">
        <v>160</v>
      </c>
      <c r="G107" s="298">
        <v>285000000</v>
      </c>
    </row>
    <row r="108" spans="5:7" x14ac:dyDescent="0.25">
      <c r="E108" s="296" t="s">
        <v>764</v>
      </c>
      <c r="F108" s="296" t="s">
        <v>765</v>
      </c>
      <c r="G108" s="298">
        <v>0</v>
      </c>
    </row>
    <row r="109" spans="5:7" x14ac:dyDescent="0.25">
      <c r="E109" s="296" t="s">
        <v>161</v>
      </c>
      <c r="F109" s="296" t="s">
        <v>162</v>
      </c>
      <c r="G109" s="298">
        <v>8500000</v>
      </c>
    </row>
    <row r="110" spans="5:7" x14ac:dyDescent="0.25">
      <c r="E110" s="296" t="s">
        <v>163</v>
      </c>
      <c r="F110" s="296" t="s">
        <v>164</v>
      </c>
      <c r="G110" s="298">
        <v>446971</v>
      </c>
    </row>
    <row r="111" spans="5:7" x14ac:dyDescent="0.25">
      <c r="E111" s="296" t="s">
        <v>165</v>
      </c>
      <c r="F111" s="296" t="s">
        <v>166</v>
      </c>
      <c r="G111" s="298">
        <v>4874000</v>
      </c>
    </row>
    <row r="112" spans="5:7" x14ac:dyDescent="0.25">
      <c r="E112" s="296" t="s">
        <v>167</v>
      </c>
      <c r="F112" s="296" t="s">
        <v>168</v>
      </c>
      <c r="G112" s="298">
        <v>32540000</v>
      </c>
    </row>
    <row r="113" spans="3:7" x14ac:dyDescent="0.25">
      <c r="E113" s="296" t="s">
        <v>169</v>
      </c>
      <c r="F113" s="296" t="s">
        <v>170</v>
      </c>
      <c r="G113" s="298">
        <v>32600000</v>
      </c>
    </row>
    <row r="114" spans="3:7" x14ac:dyDescent="0.25">
      <c r="E114" s="296" t="s">
        <v>171</v>
      </c>
      <c r="F114" s="296" t="s">
        <v>172</v>
      </c>
      <c r="G114" s="298">
        <v>112304500</v>
      </c>
    </row>
    <row r="115" spans="3:7" x14ac:dyDescent="0.25">
      <c r="E115" s="296" t="s">
        <v>173</v>
      </c>
      <c r="F115" s="296" t="s">
        <v>174</v>
      </c>
      <c r="G115" s="298">
        <v>99590000</v>
      </c>
    </row>
    <row r="116" spans="3:7" x14ac:dyDescent="0.25">
      <c r="E116" s="296" t="s">
        <v>175</v>
      </c>
      <c r="F116" s="296" t="s">
        <v>176</v>
      </c>
      <c r="G116" s="298">
        <v>15800000</v>
      </c>
    </row>
    <row r="117" spans="3:7" x14ac:dyDescent="0.25">
      <c r="E117" s="296" t="s">
        <v>177</v>
      </c>
      <c r="F117" s="296" t="s">
        <v>178</v>
      </c>
      <c r="G117" s="298">
        <v>402187858</v>
      </c>
    </row>
    <row r="118" spans="3:7" x14ac:dyDescent="0.25">
      <c r="E118" s="296" t="s">
        <v>179</v>
      </c>
      <c r="F118" s="296" t="s">
        <v>180</v>
      </c>
      <c r="G118" s="298">
        <v>124660000</v>
      </c>
    </row>
    <row r="119" spans="3:7" x14ac:dyDescent="0.25">
      <c r="D119" s="299" t="s">
        <v>181</v>
      </c>
      <c r="E119" s="299"/>
      <c r="F119" s="299"/>
      <c r="G119" s="300">
        <f>SUM(G88:G118)</f>
        <v>11502752076</v>
      </c>
    </row>
    <row r="120" spans="3:7" x14ac:dyDescent="0.25">
      <c r="C120" s="296" t="s">
        <v>182</v>
      </c>
      <c r="D120" s="296" t="s">
        <v>11</v>
      </c>
      <c r="E120" s="296" t="s">
        <v>183</v>
      </c>
      <c r="F120" s="296" t="s">
        <v>184</v>
      </c>
      <c r="G120" s="298">
        <v>495629361</v>
      </c>
    </row>
    <row r="121" spans="3:7" x14ac:dyDescent="0.25">
      <c r="E121" s="296" t="s">
        <v>185</v>
      </c>
      <c r="F121" s="296" t="s">
        <v>186</v>
      </c>
      <c r="G121" s="298">
        <v>1168181000</v>
      </c>
    </row>
    <row r="122" spans="3:7" x14ac:dyDescent="0.25">
      <c r="E122" s="296" t="s">
        <v>187</v>
      </c>
      <c r="F122" s="296" t="s">
        <v>188</v>
      </c>
      <c r="G122" s="298">
        <v>1000000</v>
      </c>
    </row>
    <row r="123" spans="3:7" x14ac:dyDescent="0.25">
      <c r="E123" s="296" t="s">
        <v>189</v>
      </c>
      <c r="F123" s="296" t="s">
        <v>190</v>
      </c>
      <c r="G123" s="298">
        <v>4296691</v>
      </c>
    </row>
    <row r="124" spans="3:7" x14ac:dyDescent="0.25">
      <c r="E124" s="296" t="s">
        <v>191</v>
      </c>
      <c r="F124" s="296" t="s">
        <v>192</v>
      </c>
      <c r="G124" s="298">
        <v>630500000</v>
      </c>
    </row>
    <row r="125" spans="3:7" x14ac:dyDescent="0.25">
      <c r="E125" s="296" t="s">
        <v>193</v>
      </c>
      <c r="F125" s="296" t="s">
        <v>194</v>
      </c>
      <c r="G125" s="298">
        <v>107200000</v>
      </c>
    </row>
    <row r="126" spans="3:7" x14ac:dyDescent="0.25">
      <c r="E126" s="296" t="s">
        <v>766</v>
      </c>
      <c r="F126" s="296" t="s">
        <v>767</v>
      </c>
      <c r="G126" s="298"/>
    </row>
    <row r="127" spans="3:7" x14ac:dyDescent="0.25">
      <c r="E127" s="296" t="s">
        <v>828</v>
      </c>
      <c r="F127" s="296" t="s">
        <v>829</v>
      </c>
      <c r="G127" s="298">
        <v>0</v>
      </c>
    </row>
    <row r="128" spans="3:7" x14ac:dyDescent="0.25">
      <c r="D128" s="299" t="s">
        <v>195</v>
      </c>
      <c r="E128" s="299"/>
      <c r="F128" s="299"/>
      <c r="G128" s="300">
        <f>SUM(G120:G127)</f>
        <v>2406807052</v>
      </c>
    </row>
    <row r="129" spans="3:7" x14ac:dyDescent="0.25">
      <c r="C129" s="296" t="s">
        <v>196</v>
      </c>
      <c r="D129" s="296" t="s">
        <v>12</v>
      </c>
      <c r="E129" s="296" t="s">
        <v>197</v>
      </c>
      <c r="F129" s="296" t="s">
        <v>198</v>
      </c>
      <c r="G129" s="298">
        <v>206410564</v>
      </c>
    </row>
    <row r="130" spans="3:7" x14ac:dyDescent="0.25">
      <c r="E130" s="296" t="s">
        <v>199</v>
      </c>
      <c r="F130" s="296" t="s">
        <v>200</v>
      </c>
      <c r="G130" s="298">
        <v>16367632</v>
      </c>
    </row>
    <row r="131" spans="3:7" x14ac:dyDescent="0.25">
      <c r="E131" s="296" t="s">
        <v>201</v>
      </c>
      <c r="F131" s="296" t="s">
        <v>202</v>
      </c>
      <c r="G131" s="298">
        <v>69597620</v>
      </c>
    </row>
    <row r="132" spans="3:7" x14ac:dyDescent="0.25">
      <c r="E132" s="296" t="s">
        <v>203</v>
      </c>
      <c r="F132" s="296" t="s">
        <v>26</v>
      </c>
      <c r="G132" s="298">
        <v>98744000</v>
      </c>
    </row>
    <row r="133" spans="3:7" x14ac:dyDescent="0.25">
      <c r="E133" s="296" t="s">
        <v>204</v>
      </c>
      <c r="F133" s="296" t="s">
        <v>205</v>
      </c>
      <c r="G133" s="298">
        <v>4907963</v>
      </c>
    </row>
    <row r="134" spans="3:7" x14ac:dyDescent="0.25">
      <c r="E134" s="296" t="s">
        <v>206</v>
      </c>
      <c r="F134" s="296" t="s">
        <v>207</v>
      </c>
      <c r="G134" s="298">
        <v>13500000</v>
      </c>
    </row>
    <row r="135" spans="3:7" x14ac:dyDescent="0.25">
      <c r="D135" s="299" t="s">
        <v>78</v>
      </c>
      <c r="E135" s="299"/>
      <c r="F135" s="299"/>
      <c r="G135" s="300">
        <f>SUM(G129:G134)</f>
        <v>409527779</v>
      </c>
    </row>
    <row r="136" spans="3:7" x14ac:dyDescent="0.25">
      <c r="C136" s="296" t="s">
        <v>208</v>
      </c>
      <c r="D136" s="296" t="s">
        <v>13</v>
      </c>
      <c r="E136" s="296" t="s">
        <v>209</v>
      </c>
      <c r="F136" s="296" t="s">
        <v>210</v>
      </c>
      <c r="G136" s="298">
        <v>69000000</v>
      </c>
    </row>
    <row r="137" spans="3:7" x14ac:dyDescent="0.25">
      <c r="E137" s="296" t="s">
        <v>211</v>
      </c>
      <c r="F137" s="296" t="s">
        <v>212</v>
      </c>
      <c r="G137" s="298">
        <v>220000000</v>
      </c>
    </row>
    <row r="138" spans="3:7" x14ac:dyDescent="0.25">
      <c r="E138" s="296" t="s">
        <v>213</v>
      </c>
      <c r="F138" s="296" t="s">
        <v>214</v>
      </c>
      <c r="G138" s="298">
        <v>1096652344</v>
      </c>
    </row>
    <row r="139" spans="3:7" x14ac:dyDescent="0.25">
      <c r="D139" s="299" t="s">
        <v>215</v>
      </c>
      <c r="E139" s="299"/>
      <c r="F139" s="299"/>
      <c r="G139" s="300">
        <f>SUM(G136:G138)</f>
        <v>1385652344</v>
      </c>
    </row>
    <row r="140" spans="3:7" x14ac:dyDescent="0.25">
      <c r="C140" s="296" t="s">
        <v>216</v>
      </c>
      <c r="D140" s="296" t="s">
        <v>14</v>
      </c>
      <c r="E140" s="296" t="s">
        <v>217</v>
      </c>
      <c r="F140" s="296" t="s">
        <v>218</v>
      </c>
      <c r="G140" s="298">
        <v>35700000</v>
      </c>
    </row>
    <row r="141" spans="3:7" x14ac:dyDescent="0.25">
      <c r="E141" s="296" t="s">
        <v>219</v>
      </c>
      <c r="F141" s="296" t="s">
        <v>220</v>
      </c>
      <c r="G141" s="298">
        <v>52100000</v>
      </c>
    </row>
    <row r="142" spans="3:7" x14ac:dyDescent="0.25">
      <c r="E142" s="296" t="s">
        <v>221</v>
      </c>
      <c r="F142" s="296" t="s">
        <v>222</v>
      </c>
      <c r="G142" s="298">
        <v>8000000</v>
      </c>
    </row>
    <row r="143" spans="3:7" x14ac:dyDescent="0.25">
      <c r="E143" s="296" t="s">
        <v>223</v>
      </c>
      <c r="F143" s="296" t="s">
        <v>224</v>
      </c>
      <c r="G143" s="298">
        <v>148626029</v>
      </c>
    </row>
    <row r="144" spans="3:7" x14ac:dyDescent="0.25">
      <c r="E144" s="296" t="s">
        <v>225</v>
      </c>
      <c r="F144" s="296" t="s">
        <v>226</v>
      </c>
      <c r="G144" s="298">
        <v>700000</v>
      </c>
    </row>
    <row r="145" spans="3:7" x14ac:dyDescent="0.25">
      <c r="E145" s="296" t="s">
        <v>227</v>
      </c>
      <c r="F145" s="296" t="s">
        <v>228</v>
      </c>
      <c r="G145" s="298">
        <v>2081013</v>
      </c>
    </row>
    <row r="146" spans="3:7" x14ac:dyDescent="0.25">
      <c r="E146" s="296" t="s">
        <v>644</v>
      </c>
      <c r="F146" s="296" t="s">
        <v>645</v>
      </c>
      <c r="G146" s="298">
        <v>2000000</v>
      </c>
    </row>
    <row r="147" spans="3:7" x14ac:dyDescent="0.25">
      <c r="E147" s="296" t="s">
        <v>229</v>
      </c>
      <c r="F147" s="296" t="s">
        <v>230</v>
      </c>
      <c r="G147" s="298">
        <v>11400000</v>
      </c>
    </row>
    <row r="148" spans="3:7" x14ac:dyDescent="0.25">
      <c r="E148" s="296" t="s">
        <v>231</v>
      </c>
      <c r="F148" s="296" t="s">
        <v>232</v>
      </c>
      <c r="G148" s="298">
        <v>235500000</v>
      </c>
    </row>
    <row r="149" spans="3:7" x14ac:dyDescent="0.25">
      <c r="E149" s="296" t="s">
        <v>646</v>
      </c>
      <c r="F149" s="296" t="s">
        <v>647</v>
      </c>
      <c r="G149" s="298">
        <v>24500000</v>
      </c>
    </row>
    <row r="150" spans="3:7" x14ac:dyDescent="0.25">
      <c r="E150" s="296" t="s">
        <v>233</v>
      </c>
      <c r="F150" s="296" t="s">
        <v>234</v>
      </c>
      <c r="G150" s="298">
        <v>747942598</v>
      </c>
    </row>
    <row r="151" spans="3:7" x14ac:dyDescent="0.25">
      <c r="D151" s="299" t="s">
        <v>235</v>
      </c>
      <c r="E151" s="299"/>
      <c r="F151" s="299"/>
      <c r="G151" s="300">
        <f>SUM(G140:G150)</f>
        <v>1268549640</v>
      </c>
    </row>
    <row r="152" spans="3:7" x14ac:dyDescent="0.25">
      <c r="C152" s="296" t="s">
        <v>236</v>
      </c>
      <c r="D152" s="296" t="s">
        <v>15</v>
      </c>
      <c r="E152" s="296" t="s">
        <v>237</v>
      </c>
      <c r="F152" s="296" t="s">
        <v>238</v>
      </c>
      <c r="G152" s="298">
        <v>85624147</v>
      </c>
    </row>
    <row r="153" spans="3:7" x14ac:dyDescent="0.25">
      <c r="E153" s="296" t="s">
        <v>239</v>
      </c>
      <c r="F153" s="296" t="s">
        <v>240</v>
      </c>
      <c r="G153" s="298">
        <v>1018231685</v>
      </c>
    </row>
    <row r="154" spans="3:7" x14ac:dyDescent="0.25">
      <c r="E154" s="296" t="s">
        <v>241</v>
      </c>
      <c r="F154" s="296" t="s">
        <v>242</v>
      </c>
      <c r="G154" s="298">
        <v>2572183019</v>
      </c>
    </row>
    <row r="155" spans="3:7" x14ac:dyDescent="0.25">
      <c r="E155" s="296" t="s">
        <v>243</v>
      </c>
      <c r="F155" s="296" t="s">
        <v>244</v>
      </c>
      <c r="G155" s="298">
        <v>85421956</v>
      </c>
    </row>
    <row r="156" spans="3:7" x14ac:dyDescent="0.25">
      <c r="E156" s="296" t="s">
        <v>737</v>
      </c>
      <c r="F156" s="296" t="s">
        <v>738</v>
      </c>
      <c r="G156" s="298">
        <v>5600000</v>
      </c>
    </row>
    <row r="157" spans="3:7" x14ac:dyDescent="0.25">
      <c r="E157" s="296" t="s">
        <v>245</v>
      </c>
      <c r="F157" s="296" t="s">
        <v>246</v>
      </c>
      <c r="G157" s="298">
        <v>94081479</v>
      </c>
    </row>
    <row r="158" spans="3:7" x14ac:dyDescent="0.25">
      <c r="E158" s="296" t="s">
        <v>247</v>
      </c>
      <c r="F158" s="296" t="s">
        <v>248</v>
      </c>
      <c r="G158" s="298">
        <v>2651871000</v>
      </c>
    </row>
    <row r="159" spans="3:7" x14ac:dyDescent="0.25">
      <c r="E159" s="296" t="s">
        <v>249</v>
      </c>
      <c r="F159" s="296" t="s">
        <v>250</v>
      </c>
      <c r="G159" s="298">
        <v>179335261</v>
      </c>
    </row>
    <row r="160" spans="3:7" x14ac:dyDescent="0.25">
      <c r="E160" s="296" t="s">
        <v>251</v>
      </c>
      <c r="F160" s="296" t="s">
        <v>252</v>
      </c>
      <c r="G160" s="298">
        <v>67920777</v>
      </c>
    </row>
    <row r="161" spans="5:7" x14ac:dyDescent="0.25">
      <c r="E161" s="296" t="s">
        <v>253</v>
      </c>
      <c r="F161" s="296" t="s">
        <v>254</v>
      </c>
      <c r="G161" s="298">
        <v>28830871</v>
      </c>
    </row>
    <row r="162" spans="5:7" x14ac:dyDescent="0.25">
      <c r="E162" s="296" t="s">
        <v>255</v>
      </c>
      <c r="F162" s="296" t="s">
        <v>256</v>
      </c>
      <c r="G162" s="298">
        <v>17378350</v>
      </c>
    </row>
    <row r="163" spans="5:7" x14ac:dyDescent="0.25">
      <c r="E163" s="296" t="s">
        <v>257</v>
      </c>
      <c r="F163" s="296" t="s">
        <v>258</v>
      </c>
      <c r="G163" s="298">
        <v>296730000</v>
      </c>
    </row>
    <row r="164" spans="5:7" x14ac:dyDescent="0.25">
      <c r="E164" s="296" t="s">
        <v>259</v>
      </c>
      <c r="F164" s="296" t="s">
        <v>260</v>
      </c>
      <c r="G164" s="298">
        <v>289500000</v>
      </c>
    </row>
    <row r="165" spans="5:7" x14ac:dyDescent="0.25">
      <c r="E165" s="296" t="s">
        <v>261</v>
      </c>
      <c r="F165" s="296" t="s">
        <v>262</v>
      </c>
      <c r="G165" s="298">
        <v>260430525</v>
      </c>
    </row>
    <row r="166" spans="5:7" x14ac:dyDescent="0.25">
      <c r="E166" s="296" t="s">
        <v>263</v>
      </c>
      <c r="F166" s="296" t="s">
        <v>264</v>
      </c>
      <c r="G166" s="298">
        <v>170000000</v>
      </c>
    </row>
    <row r="167" spans="5:7" x14ac:dyDescent="0.25">
      <c r="E167" s="296" t="s">
        <v>265</v>
      </c>
      <c r="F167" s="296" t="s">
        <v>266</v>
      </c>
      <c r="G167" s="298">
        <v>896680000</v>
      </c>
    </row>
    <row r="168" spans="5:7" x14ac:dyDescent="0.25">
      <c r="E168" s="296" t="s">
        <v>267</v>
      </c>
      <c r="F168" s="296" t="s">
        <v>268</v>
      </c>
      <c r="G168" s="298">
        <v>95876250</v>
      </c>
    </row>
    <row r="169" spans="5:7" x14ac:dyDescent="0.25">
      <c r="E169" s="296" t="s">
        <v>269</v>
      </c>
      <c r="F169" s="296" t="s">
        <v>270</v>
      </c>
      <c r="G169" s="298">
        <v>2476575</v>
      </c>
    </row>
    <row r="170" spans="5:7" x14ac:dyDescent="0.25">
      <c r="E170" s="296" t="s">
        <v>648</v>
      </c>
      <c r="F170" s="296" t="s">
        <v>649</v>
      </c>
      <c r="G170" s="298">
        <v>17700000</v>
      </c>
    </row>
    <row r="171" spans="5:7" x14ac:dyDescent="0.25">
      <c r="E171" s="296" t="s">
        <v>271</v>
      </c>
      <c r="F171" s="296" t="s">
        <v>272</v>
      </c>
      <c r="G171" s="298">
        <v>18389958</v>
      </c>
    </row>
    <row r="172" spans="5:7" x14ac:dyDescent="0.25">
      <c r="E172" s="296" t="s">
        <v>273</v>
      </c>
      <c r="F172" s="296" t="s">
        <v>274</v>
      </c>
      <c r="G172" s="298">
        <v>213734468</v>
      </c>
    </row>
    <row r="173" spans="5:7" x14ac:dyDescent="0.25">
      <c r="E173" s="296" t="s">
        <v>275</v>
      </c>
      <c r="F173" s="296" t="s">
        <v>276</v>
      </c>
      <c r="G173" s="298">
        <v>3410253</v>
      </c>
    </row>
    <row r="174" spans="5:7" x14ac:dyDescent="0.25">
      <c r="E174" s="296" t="s">
        <v>277</v>
      </c>
      <c r="F174" s="296" t="s">
        <v>278</v>
      </c>
      <c r="G174" s="298">
        <v>34757760</v>
      </c>
    </row>
    <row r="175" spans="5:7" x14ac:dyDescent="0.25">
      <c r="E175" s="296" t="s">
        <v>768</v>
      </c>
      <c r="F175" s="296" t="s">
        <v>769</v>
      </c>
      <c r="G175" s="298">
        <v>0</v>
      </c>
    </row>
    <row r="176" spans="5:7" x14ac:dyDescent="0.25">
      <c r="E176" s="296" t="s">
        <v>524</v>
      </c>
      <c r="F176" s="296" t="s">
        <v>525</v>
      </c>
      <c r="G176" s="298">
        <v>4200000</v>
      </c>
    </row>
    <row r="177" spans="3:7" x14ac:dyDescent="0.25">
      <c r="E177" s="296" t="s">
        <v>279</v>
      </c>
      <c r="F177" s="296" t="s">
        <v>280</v>
      </c>
      <c r="G177" s="298">
        <v>161400000</v>
      </c>
    </row>
    <row r="178" spans="3:7" x14ac:dyDescent="0.25">
      <c r="E178" s="296" t="s">
        <v>281</v>
      </c>
      <c r="F178" s="296" t="s">
        <v>282</v>
      </c>
      <c r="G178" s="298">
        <v>4795400</v>
      </c>
    </row>
    <row r="179" spans="3:7" x14ac:dyDescent="0.25">
      <c r="E179" s="296" t="s">
        <v>283</v>
      </c>
      <c r="F179" s="296" t="s">
        <v>284</v>
      </c>
      <c r="G179" s="298">
        <v>0</v>
      </c>
    </row>
    <row r="180" spans="3:7" x14ac:dyDescent="0.25">
      <c r="E180" s="296" t="s">
        <v>285</v>
      </c>
      <c r="F180" s="296" t="s">
        <v>286</v>
      </c>
      <c r="G180" s="298">
        <v>4680000</v>
      </c>
    </row>
    <row r="181" spans="3:7" x14ac:dyDescent="0.25">
      <c r="E181" s="296" t="s">
        <v>830</v>
      </c>
      <c r="F181" s="296" t="s">
        <v>831</v>
      </c>
      <c r="G181" s="298">
        <v>0</v>
      </c>
    </row>
    <row r="182" spans="3:7" x14ac:dyDescent="0.25">
      <c r="D182" s="299" t="s">
        <v>287</v>
      </c>
      <c r="E182" s="299"/>
      <c r="F182" s="299"/>
      <c r="G182" s="300">
        <f>SUM(G152:G181)</f>
        <v>9281239734</v>
      </c>
    </row>
    <row r="183" spans="3:7" x14ac:dyDescent="0.25">
      <c r="C183" s="296" t="s">
        <v>288</v>
      </c>
      <c r="D183" s="296" t="s">
        <v>16</v>
      </c>
      <c r="E183" s="296" t="s">
        <v>289</v>
      </c>
      <c r="F183" s="296" t="s">
        <v>290</v>
      </c>
      <c r="G183" s="298">
        <v>5400000</v>
      </c>
    </row>
    <row r="184" spans="3:7" x14ac:dyDescent="0.25">
      <c r="E184" s="296" t="s">
        <v>291</v>
      </c>
      <c r="F184" s="296" t="s">
        <v>292</v>
      </c>
      <c r="G184" s="298">
        <v>384243391</v>
      </c>
    </row>
    <row r="185" spans="3:7" x14ac:dyDescent="0.25">
      <c r="E185" s="296" t="s">
        <v>293</v>
      </c>
      <c r="F185" s="296" t="s">
        <v>294</v>
      </c>
      <c r="G185" s="298">
        <v>400000</v>
      </c>
    </row>
    <row r="186" spans="3:7" x14ac:dyDescent="0.25">
      <c r="E186" s="296" t="s">
        <v>295</v>
      </c>
      <c r="F186" s="296" t="s">
        <v>296</v>
      </c>
      <c r="G186" s="298">
        <v>23874000</v>
      </c>
    </row>
    <row r="187" spans="3:7" x14ac:dyDescent="0.25">
      <c r="E187" s="296" t="s">
        <v>770</v>
      </c>
      <c r="F187" s="296" t="s">
        <v>771</v>
      </c>
      <c r="G187" s="298">
        <v>2000000</v>
      </c>
    </row>
    <row r="188" spans="3:7" x14ac:dyDescent="0.25">
      <c r="D188" s="299" t="s">
        <v>297</v>
      </c>
      <c r="E188" s="299"/>
      <c r="F188" s="299"/>
      <c r="G188" s="300">
        <f>SUM(G183:G187)</f>
        <v>415917391</v>
      </c>
    </row>
    <row r="189" spans="3:7" x14ac:dyDescent="0.25">
      <c r="C189" s="296" t="s">
        <v>298</v>
      </c>
      <c r="D189" s="296" t="s">
        <v>17</v>
      </c>
      <c r="E189" s="296" t="s">
        <v>299</v>
      </c>
      <c r="F189" s="296" t="s">
        <v>200</v>
      </c>
      <c r="G189" s="298">
        <v>262971870</v>
      </c>
    </row>
    <row r="190" spans="3:7" x14ac:dyDescent="0.25">
      <c r="E190" s="296" t="s">
        <v>300</v>
      </c>
      <c r="F190" s="296" t="s">
        <v>202</v>
      </c>
      <c r="G190" s="298">
        <v>1082490993</v>
      </c>
    </row>
    <row r="191" spans="3:7" x14ac:dyDescent="0.25">
      <c r="E191" s="296" t="s">
        <v>301</v>
      </c>
      <c r="F191" s="296" t="s">
        <v>26</v>
      </c>
      <c r="G191" s="298">
        <v>40136600</v>
      </c>
    </row>
    <row r="192" spans="3:7" x14ac:dyDescent="0.25">
      <c r="E192" s="296" t="s">
        <v>302</v>
      </c>
      <c r="F192" s="296" t="s">
        <v>205</v>
      </c>
      <c r="G192" s="298">
        <v>75818346</v>
      </c>
    </row>
    <row r="193" spans="3:7" x14ac:dyDescent="0.25">
      <c r="E193" s="296" t="s">
        <v>303</v>
      </c>
      <c r="F193" s="296" t="s">
        <v>304</v>
      </c>
      <c r="G193" s="298">
        <v>103000000</v>
      </c>
    </row>
    <row r="194" spans="3:7" x14ac:dyDescent="0.25">
      <c r="E194" s="296" t="s">
        <v>305</v>
      </c>
      <c r="F194" s="296" t="s">
        <v>222</v>
      </c>
      <c r="G194" s="298">
        <v>10035845</v>
      </c>
    </row>
    <row r="195" spans="3:7" x14ac:dyDescent="0.25">
      <c r="E195" s="296" t="s">
        <v>306</v>
      </c>
      <c r="F195" s="296" t="s">
        <v>307</v>
      </c>
      <c r="G195" s="298">
        <v>6000000</v>
      </c>
    </row>
    <row r="196" spans="3:7" x14ac:dyDescent="0.25">
      <c r="E196" s="296" t="s">
        <v>308</v>
      </c>
      <c r="F196" s="296" t="s">
        <v>309</v>
      </c>
      <c r="G196" s="298">
        <v>769521577</v>
      </c>
    </row>
    <row r="197" spans="3:7" x14ac:dyDescent="0.25">
      <c r="D197" s="299" t="s">
        <v>310</v>
      </c>
      <c r="E197" s="299"/>
      <c r="F197" s="299"/>
      <c r="G197" s="300">
        <f>SUM(G189:G196)</f>
        <v>2349975231</v>
      </c>
    </row>
    <row r="198" spans="3:7" x14ac:dyDescent="0.25">
      <c r="C198" s="296" t="s">
        <v>311</v>
      </c>
      <c r="D198" s="296" t="s">
        <v>312</v>
      </c>
      <c r="E198" s="296" t="s">
        <v>313</v>
      </c>
      <c r="F198" s="296" t="s">
        <v>314</v>
      </c>
      <c r="G198" s="298">
        <v>70000000</v>
      </c>
    </row>
    <row r="199" spans="3:7" x14ac:dyDescent="0.25">
      <c r="E199" s="296" t="s">
        <v>315</v>
      </c>
      <c r="F199" s="296" t="s">
        <v>316</v>
      </c>
      <c r="G199" s="298">
        <v>41655520</v>
      </c>
    </row>
    <row r="200" spans="3:7" x14ac:dyDescent="0.25">
      <c r="E200" s="296" t="s">
        <v>317</v>
      </c>
      <c r="F200" s="296" t="s">
        <v>318</v>
      </c>
      <c r="G200" s="298">
        <v>558422644</v>
      </c>
    </row>
    <row r="201" spans="3:7" x14ac:dyDescent="0.25">
      <c r="E201" s="296" t="s">
        <v>650</v>
      </c>
      <c r="F201" s="296" t="s">
        <v>651</v>
      </c>
      <c r="G201" s="298"/>
    </row>
    <row r="202" spans="3:7" x14ac:dyDescent="0.25">
      <c r="D202" s="299" t="s">
        <v>319</v>
      </c>
      <c r="E202" s="299"/>
      <c r="F202" s="299"/>
      <c r="G202" s="300">
        <f>SUM(G198:G201)</f>
        <v>670078164</v>
      </c>
    </row>
    <row r="203" spans="3:7" x14ac:dyDescent="0.25">
      <c r="C203" s="296" t="s">
        <v>320</v>
      </c>
      <c r="D203" s="296" t="s">
        <v>18</v>
      </c>
      <c r="E203" s="296" t="s">
        <v>321</v>
      </c>
      <c r="F203" s="296" t="s">
        <v>322</v>
      </c>
      <c r="G203" s="298">
        <v>796238754</v>
      </c>
    </row>
    <row r="204" spans="3:7" x14ac:dyDescent="0.25">
      <c r="E204" s="296" t="s">
        <v>323</v>
      </c>
      <c r="F204" s="296" t="s">
        <v>324</v>
      </c>
      <c r="G204" s="298">
        <v>10000000</v>
      </c>
    </row>
    <row r="205" spans="3:7" x14ac:dyDescent="0.25">
      <c r="E205" s="296" t="s">
        <v>325</v>
      </c>
      <c r="F205" s="296" t="s">
        <v>326</v>
      </c>
      <c r="G205" s="298">
        <v>1026255066</v>
      </c>
    </row>
    <row r="206" spans="3:7" x14ac:dyDescent="0.25">
      <c r="E206" s="296" t="s">
        <v>327</v>
      </c>
      <c r="F206" s="296" t="s">
        <v>328</v>
      </c>
      <c r="G206" s="298">
        <v>458937447</v>
      </c>
    </row>
    <row r="207" spans="3:7" x14ac:dyDescent="0.25">
      <c r="D207" s="299" t="s">
        <v>329</v>
      </c>
      <c r="E207" s="299"/>
      <c r="F207" s="299"/>
      <c r="G207" s="300">
        <f>SUM(G203:G206)</f>
        <v>2291431267</v>
      </c>
    </row>
    <row r="208" spans="3:7" x14ac:dyDescent="0.25">
      <c r="C208" s="296" t="s">
        <v>330</v>
      </c>
      <c r="D208" s="296" t="s">
        <v>19</v>
      </c>
      <c r="E208" s="296" t="s">
        <v>331</v>
      </c>
      <c r="F208" s="296" t="s">
        <v>332</v>
      </c>
      <c r="G208" s="298">
        <v>8280428000</v>
      </c>
    </row>
    <row r="209" spans="3:7" x14ac:dyDescent="0.25">
      <c r="D209" s="299" t="s">
        <v>333</v>
      </c>
      <c r="E209" s="299"/>
      <c r="F209" s="299"/>
      <c r="G209" s="300">
        <f>+G208</f>
        <v>8280428000</v>
      </c>
    </row>
    <row r="210" spans="3:7" x14ac:dyDescent="0.25">
      <c r="C210" s="296" t="s">
        <v>334</v>
      </c>
      <c r="D210" s="296" t="s">
        <v>20</v>
      </c>
      <c r="E210" s="296" t="s">
        <v>335</v>
      </c>
      <c r="F210" s="296" t="s">
        <v>336</v>
      </c>
      <c r="G210" s="298">
        <v>72000000</v>
      </c>
    </row>
    <row r="211" spans="3:7" x14ac:dyDescent="0.25">
      <c r="E211" s="296" t="s">
        <v>337</v>
      </c>
      <c r="F211" s="296" t="s">
        <v>338</v>
      </c>
      <c r="G211" s="298">
        <v>1445373208</v>
      </c>
    </row>
    <row r="212" spans="3:7" x14ac:dyDescent="0.25">
      <c r="E212" s="296" t="s">
        <v>339</v>
      </c>
      <c r="F212" s="296" t="s">
        <v>340</v>
      </c>
      <c r="G212" s="298">
        <v>285278751</v>
      </c>
    </row>
    <row r="213" spans="3:7" x14ac:dyDescent="0.25">
      <c r="E213" s="296" t="s">
        <v>341</v>
      </c>
      <c r="F213" s="296" t="s">
        <v>342</v>
      </c>
      <c r="G213" s="298">
        <v>234189462</v>
      </c>
    </row>
    <row r="214" spans="3:7" x14ac:dyDescent="0.25">
      <c r="E214" s="296" t="s">
        <v>343</v>
      </c>
      <c r="F214" s="296" t="s">
        <v>344</v>
      </c>
      <c r="G214" s="298">
        <v>80431783</v>
      </c>
    </row>
    <row r="215" spans="3:7" x14ac:dyDescent="0.25">
      <c r="E215" s="296" t="s">
        <v>345</v>
      </c>
      <c r="F215" s="296" t="s">
        <v>346</v>
      </c>
      <c r="G215" s="298">
        <v>314337989</v>
      </c>
    </row>
    <row r="216" spans="3:7" x14ac:dyDescent="0.25">
      <c r="E216" s="296" t="s">
        <v>347</v>
      </c>
      <c r="F216" s="296" t="s">
        <v>348</v>
      </c>
      <c r="G216" s="298">
        <v>178917558</v>
      </c>
    </row>
    <row r="217" spans="3:7" x14ac:dyDescent="0.25">
      <c r="E217" s="296" t="s">
        <v>349</v>
      </c>
      <c r="F217" s="296" t="s">
        <v>350</v>
      </c>
      <c r="G217" s="298">
        <v>59695693</v>
      </c>
    </row>
    <row r="218" spans="3:7" x14ac:dyDescent="0.25">
      <c r="E218" s="296" t="s">
        <v>351</v>
      </c>
      <c r="F218" s="296" t="s">
        <v>352</v>
      </c>
      <c r="G218" s="298">
        <v>133495744</v>
      </c>
    </row>
    <row r="219" spans="3:7" x14ac:dyDescent="0.25">
      <c r="E219" s="296" t="s">
        <v>353</v>
      </c>
      <c r="F219" s="296" t="s">
        <v>354</v>
      </c>
      <c r="G219" s="298">
        <v>33822585</v>
      </c>
    </row>
    <row r="220" spans="3:7" x14ac:dyDescent="0.25">
      <c r="E220" s="296" t="s">
        <v>355</v>
      </c>
      <c r="F220" s="296" t="s">
        <v>356</v>
      </c>
      <c r="G220" s="298">
        <v>4000000</v>
      </c>
    </row>
    <row r="221" spans="3:7" x14ac:dyDescent="0.25">
      <c r="E221" s="296" t="s">
        <v>357</v>
      </c>
      <c r="F221" s="296" t="s">
        <v>358</v>
      </c>
      <c r="G221" s="298">
        <v>245775932</v>
      </c>
    </row>
    <row r="222" spans="3:7" x14ac:dyDescent="0.25">
      <c r="E222" s="296" t="s">
        <v>359</v>
      </c>
      <c r="F222" s="296" t="s">
        <v>360</v>
      </c>
      <c r="G222" s="298">
        <v>9000000</v>
      </c>
    </row>
    <row r="223" spans="3:7" x14ac:dyDescent="0.25">
      <c r="E223" s="296" t="s">
        <v>361</v>
      </c>
      <c r="F223" s="296" t="s">
        <v>362</v>
      </c>
      <c r="G223" s="298">
        <v>659700300</v>
      </c>
    </row>
    <row r="224" spans="3:7" x14ac:dyDescent="0.25">
      <c r="E224" s="296" t="s">
        <v>363</v>
      </c>
      <c r="F224" s="296" t="s">
        <v>364</v>
      </c>
      <c r="G224" s="298">
        <v>13320000</v>
      </c>
    </row>
    <row r="225" spans="5:7" x14ac:dyDescent="0.25">
      <c r="E225" s="296" t="s">
        <v>365</v>
      </c>
      <c r="F225" s="296" t="s">
        <v>366</v>
      </c>
      <c r="G225" s="298">
        <v>12000000</v>
      </c>
    </row>
    <row r="226" spans="5:7" x14ac:dyDescent="0.25">
      <c r="E226" s="296" t="s">
        <v>367</v>
      </c>
      <c r="F226" s="296" t="s">
        <v>368</v>
      </c>
      <c r="G226" s="298">
        <v>832682098</v>
      </c>
    </row>
    <row r="227" spans="5:7" x14ac:dyDescent="0.25">
      <c r="E227" s="296" t="s">
        <v>369</v>
      </c>
      <c r="F227" s="296" t="s">
        <v>370</v>
      </c>
      <c r="G227" s="298">
        <v>46262250</v>
      </c>
    </row>
    <row r="228" spans="5:7" x14ac:dyDescent="0.25">
      <c r="E228" s="296" t="s">
        <v>371</v>
      </c>
      <c r="F228" s="296" t="s">
        <v>372</v>
      </c>
      <c r="G228" s="298">
        <v>51500000</v>
      </c>
    </row>
    <row r="229" spans="5:7" x14ac:dyDescent="0.25">
      <c r="E229" s="296" t="s">
        <v>373</v>
      </c>
      <c r="F229" s="296" t="s">
        <v>374</v>
      </c>
      <c r="G229" s="298">
        <v>100079336</v>
      </c>
    </row>
    <row r="230" spans="5:7" x14ac:dyDescent="0.25">
      <c r="E230" s="296" t="s">
        <v>832</v>
      </c>
      <c r="F230" s="296" t="s">
        <v>833</v>
      </c>
      <c r="G230" s="298">
        <v>22000000</v>
      </c>
    </row>
    <row r="231" spans="5:7" x14ac:dyDescent="0.25">
      <c r="E231" s="296" t="s">
        <v>375</v>
      </c>
      <c r="F231" s="296" t="s">
        <v>376</v>
      </c>
      <c r="G231" s="298">
        <v>1583954574</v>
      </c>
    </row>
    <row r="232" spans="5:7" x14ac:dyDescent="0.25">
      <c r="E232" s="296" t="s">
        <v>377</v>
      </c>
      <c r="F232" s="296" t="s">
        <v>378</v>
      </c>
      <c r="G232" s="298">
        <v>355206077</v>
      </c>
    </row>
    <row r="233" spans="5:7" x14ac:dyDescent="0.25">
      <c r="E233" s="296" t="s">
        <v>739</v>
      </c>
      <c r="F233" s="296" t="s">
        <v>740</v>
      </c>
      <c r="G233" s="298">
        <v>72345000</v>
      </c>
    </row>
    <row r="234" spans="5:7" x14ac:dyDescent="0.25">
      <c r="E234" s="296" t="s">
        <v>379</v>
      </c>
      <c r="F234" s="296" t="s">
        <v>380</v>
      </c>
      <c r="G234" s="298">
        <v>153752555</v>
      </c>
    </row>
    <row r="235" spans="5:7" x14ac:dyDescent="0.25">
      <c r="E235" s="296" t="s">
        <v>381</v>
      </c>
      <c r="F235" s="296" t="s">
        <v>382</v>
      </c>
      <c r="G235" s="298">
        <v>465781496</v>
      </c>
    </row>
    <row r="236" spans="5:7" x14ac:dyDescent="0.25">
      <c r="E236" s="296" t="s">
        <v>383</v>
      </c>
      <c r="F236" s="296" t="s">
        <v>384</v>
      </c>
      <c r="G236" s="298">
        <v>698934107</v>
      </c>
    </row>
    <row r="237" spans="5:7" x14ac:dyDescent="0.25">
      <c r="E237" s="296" t="s">
        <v>385</v>
      </c>
      <c r="F237" s="296" t="s">
        <v>386</v>
      </c>
      <c r="G237" s="298">
        <v>80879000</v>
      </c>
    </row>
    <row r="238" spans="5:7" x14ac:dyDescent="0.25">
      <c r="E238" s="296" t="s">
        <v>741</v>
      </c>
      <c r="F238" s="296" t="s">
        <v>742</v>
      </c>
      <c r="G238" s="298">
        <v>1000000</v>
      </c>
    </row>
    <row r="239" spans="5:7" x14ac:dyDescent="0.25">
      <c r="E239" s="296" t="s">
        <v>387</v>
      </c>
      <c r="F239" s="296" t="s">
        <v>388</v>
      </c>
      <c r="G239" s="298">
        <v>8421155</v>
      </c>
    </row>
    <row r="240" spans="5:7" x14ac:dyDescent="0.25">
      <c r="E240" s="296" t="s">
        <v>389</v>
      </c>
      <c r="F240" s="296" t="s">
        <v>390</v>
      </c>
      <c r="G240" s="298">
        <v>9220000</v>
      </c>
    </row>
    <row r="241" spans="3:7" x14ac:dyDescent="0.25">
      <c r="E241" s="296" t="s">
        <v>391</v>
      </c>
      <c r="F241" s="296" t="s">
        <v>392</v>
      </c>
      <c r="G241" s="298">
        <v>53841000</v>
      </c>
    </row>
    <row r="242" spans="3:7" x14ac:dyDescent="0.25">
      <c r="E242" s="296" t="s">
        <v>393</v>
      </c>
      <c r="F242" s="296" t="s">
        <v>394</v>
      </c>
      <c r="G242" s="298">
        <v>2213957956</v>
      </c>
    </row>
    <row r="243" spans="3:7" x14ac:dyDescent="0.25">
      <c r="E243" s="296" t="s">
        <v>395</v>
      </c>
      <c r="F243" s="296" t="s">
        <v>396</v>
      </c>
      <c r="G243" s="298">
        <v>3468081346</v>
      </c>
    </row>
    <row r="244" spans="3:7" x14ac:dyDescent="0.25">
      <c r="E244" s="296" t="s">
        <v>397</v>
      </c>
      <c r="F244" s="296" t="s">
        <v>398</v>
      </c>
      <c r="G244" s="298">
        <v>28800000</v>
      </c>
    </row>
    <row r="245" spans="3:7" x14ac:dyDescent="0.25">
      <c r="E245" s="296" t="s">
        <v>399</v>
      </c>
      <c r="F245" s="296" t="s">
        <v>400</v>
      </c>
      <c r="G245" s="298">
        <v>3850000000</v>
      </c>
    </row>
    <row r="246" spans="3:7" x14ac:dyDescent="0.25">
      <c r="E246" s="296" t="s">
        <v>401</v>
      </c>
      <c r="F246" s="296" t="s">
        <v>402</v>
      </c>
      <c r="G246" s="298">
        <v>9624000000</v>
      </c>
    </row>
    <row r="247" spans="3:7" x14ac:dyDescent="0.25">
      <c r="E247" s="296" t="s">
        <v>526</v>
      </c>
      <c r="F247" s="296" t="s">
        <v>527</v>
      </c>
      <c r="G247" s="298">
        <v>56340000</v>
      </c>
    </row>
    <row r="248" spans="3:7" x14ac:dyDescent="0.25">
      <c r="E248" s="296" t="s">
        <v>715</v>
      </c>
      <c r="F248" s="296" t="s">
        <v>716</v>
      </c>
      <c r="G248" s="298">
        <v>1776926395</v>
      </c>
    </row>
    <row r="249" spans="3:7" x14ac:dyDescent="0.25">
      <c r="D249" s="299" t="s">
        <v>403</v>
      </c>
      <c r="E249" s="299"/>
      <c r="F249" s="299"/>
      <c r="G249" s="300">
        <f>SUM(G210:G248)</f>
        <v>29335303350</v>
      </c>
    </row>
    <row r="250" spans="3:7" x14ac:dyDescent="0.25">
      <c r="C250" s="296" t="s">
        <v>404</v>
      </c>
      <c r="D250" s="296" t="s">
        <v>21</v>
      </c>
      <c r="E250" s="296" t="s">
        <v>405</v>
      </c>
      <c r="F250" s="296" t="s">
        <v>80</v>
      </c>
      <c r="G250" s="298">
        <v>250000000</v>
      </c>
    </row>
    <row r="251" spans="3:7" x14ac:dyDescent="0.25">
      <c r="E251" s="296" t="s">
        <v>528</v>
      </c>
      <c r="F251" s="296" t="s">
        <v>81</v>
      </c>
      <c r="G251" s="298">
        <v>70000000</v>
      </c>
    </row>
    <row r="252" spans="3:7" x14ac:dyDescent="0.25">
      <c r="E252" s="296" t="s">
        <v>406</v>
      </c>
      <c r="F252" s="296" t="s">
        <v>82</v>
      </c>
      <c r="G252" s="298">
        <v>75000000</v>
      </c>
    </row>
    <row r="253" spans="3:7" x14ac:dyDescent="0.25">
      <c r="D253" s="299" t="s">
        <v>407</v>
      </c>
      <c r="E253" s="299"/>
      <c r="F253" s="299"/>
      <c r="G253" s="300">
        <f>SUM(G250:G252)</f>
        <v>395000000</v>
      </c>
    </row>
    <row r="254" spans="3:7" x14ac:dyDescent="0.25">
      <c r="C254" s="296" t="s">
        <v>408</v>
      </c>
      <c r="D254" s="296" t="s">
        <v>22</v>
      </c>
      <c r="E254" s="296" t="s">
        <v>409</v>
      </c>
      <c r="F254" s="296" t="s">
        <v>410</v>
      </c>
      <c r="G254" s="298">
        <v>30500000</v>
      </c>
    </row>
    <row r="255" spans="3:7" x14ac:dyDescent="0.25">
      <c r="E255" s="296" t="s">
        <v>411</v>
      </c>
      <c r="F255" s="296" t="s">
        <v>412</v>
      </c>
      <c r="G255" s="298">
        <v>3200000</v>
      </c>
    </row>
    <row r="256" spans="3:7" x14ac:dyDescent="0.25">
      <c r="E256" s="296" t="s">
        <v>413</v>
      </c>
      <c r="F256" s="296" t="s">
        <v>414</v>
      </c>
      <c r="G256" s="298">
        <v>3200000</v>
      </c>
    </row>
    <row r="257" spans="2:7" x14ac:dyDescent="0.25">
      <c r="E257" s="296" t="s">
        <v>415</v>
      </c>
      <c r="F257" s="296" t="s">
        <v>416</v>
      </c>
      <c r="G257" s="298">
        <v>350000000</v>
      </c>
    </row>
    <row r="258" spans="2:7" x14ac:dyDescent="0.25">
      <c r="E258" s="296" t="s">
        <v>417</v>
      </c>
      <c r="F258" s="296" t="s">
        <v>418</v>
      </c>
      <c r="G258" s="298">
        <v>5000000</v>
      </c>
    </row>
    <row r="259" spans="2:7" x14ac:dyDescent="0.25">
      <c r="E259" s="296" t="s">
        <v>743</v>
      </c>
      <c r="F259" s="296" t="s">
        <v>744</v>
      </c>
      <c r="G259" s="298">
        <v>21000000</v>
      </c>
    </row>
    <row r="260" spans="2:7" x14ac:dyDescent="0.25">
      <c r="E260" s="296" t="s">
        <v>419</v>
      </c>
      <c r="F260" s="296" t="s">
        <v>420</v>
      </c>
      <c r="G260" s="298">
        <v>422200000</v>
      </c>
    </row>
    <row r="261" spans="2:7" x14ac:dyDescent="0.25">
      <c r="E261" s="296" t="s">
        <v>535</v>
      </c>
      <c r="F261" s="296" t="s">
        <v>74</v>
      </c>
      <c r="G261" s="298">
        <v>100000000</v>
      </c>
    </row>
    <row r="262" spans="2:7" x14ac:dyDescent="0.25">
      <c r="E262" s="296" t="s">
        <v>745</v>
      </c>
      <c r="F262" s="296" t="s">
        <v>746</v>
      </c>
      <c r="G262" s="298">
        <v>150000000</v>
      </c>
    </row>
    <row r="263" spans="2:7" x14ac:dyDescent="0.25">
      <c r="D263" s="299" t="s">
        <v>421</v>
      </c>
      <c r="E263" s="299"/>
      <c r="F263" s="299"/>
      <c r="G263" s="300">
        <f>SUM(G254:G262)</f>
        <v>1085100000</v>
      </c>
    </row>
    <row r="264" spans="2:7" x14ac:dyDescent="0.25">
      <c r="B264" s="302"/>
      <c r="C264" s="296" t="s">
        <v>652</v>
      </c>
      <c r="D264" s="296" t="s">
        <v>653</v>
      </c>
      <c r="E264" s="296" t="s">
        <v>654</v>
      </c>
      <c r="F264" s="296" t="s">
        <v>655</v>
      </c>
      <c r="G264" s="298">
        <v>6500000</v>
      </c>
    </row>
    <row r="265" spans="2:7" x14ac:dyDescent="0.25">
      <c r="B265" s="302"/>
      <c r="E265" s="296" t="s">
        <v>834</v>
      </c>
      <c r="F265" s="296" t="s">
        <v>735</v>
      </c>
      <c r="G265" s="298">
        <v>50000000</v>
      </c>
    </row>
    <row r="266" spans="2:7" ht="17.25" customHeight="1" x14ac:dyDescent="0.25">
      <c r="D266" s="299" t="s">
        <v>656</v>
      </c>
      <c r="E266" s="299"/>
      <c r="F266" s="299"/>
      <c r="G266" s="300">
        <v>56500000</v>
      </c>
    </row>
    <row r="267" spans="2:7" ht="17.25" customHeight="1" x14ac:dyDescent="0.25">
      <c r="C267" s="296" t="s">
        <v>835</v>
      </c>
      <c r="D267" s="296" t="s">
        <v>836</v>
      </c>
      <c r="E267" s="296" t="s">
        <v>837</v>
      </c>
      <c r="F267" s="296" t="s">
        <v>194</v>
      </c>
      <c r="G267" s="298">
        <v>0</v>
      </c>
    </row>
    <row r="268" spans="2:7" ht="17.25" customHeight="1" x14ac:dyDescent="0.25">
      <c r="D268" s="299" t="s">
        <v>838</v>
      </c>
      <c r="E268" s="299"/>
      <c r="F268" s="299"/>
      <c r="G268" s="300">
        <v>0</v>
      </c>
    </row>
    <row r="269" spans="2:7" x14ac:dyDescent="0.25">
      <c r="C269" s="296" t="s">
        <v>657</v>
      </c>
      <c r="D269" s="296" t="s">
        <v>658</v>
      </c>
      <c r="E269" s="296" t="s">
        <v>422</v>
      </c>
      <c r="F269" s="296" t="s">
        <v>423</v>
      </c>
      <c r="G269" s="298">
        <v>5000000</v>
      </c>
    </row>
    <row r="270" spans="2:7" x14ac:dyDescent="0.25">
      <c r="B270" s="302"/>
      <c r="D270" s="299" t="s">
        <v>424</v>
      </c>
      <c r="E270" s="299"/>
      <c r="F270" s="299"/>
      <c r="G270" s="300">
        <v>5000000</v>
      </c>
    </row>
    <row r="271" spans="2:7" x14ac:dyDescent="0.25">
      <c r="C271" s="296" t="s">
        <v>747</v>
      </c>
      <c r="D271" s="296" t="s">
        <v>839</v>
      </c>
      <c r="E271" s="296" t="s">
        <v>748</v>
      </c>
      <c r="F271" s="296" t="s">
        <v>714</v>
      </c>
      <c r="G271" s="298">
        <v>130000000</v>
      </c>
    </row>
    <row r="272" spans="2:7" x14ac:dyDescent="0.25">
      <c r="D272" s="299" t="s">
        <v>840</v>
      </c>
      <c r="E272" s="299"/>
      <c r="F272" s="299"/>
      <c r="G272" s="300">
        <v>130000000</v>
      </c>
    </row>
    <row r="273" spans="2:8" x14ac:dyDescent="0.25">
      <c r="B273" s="302" t="s">
        <v>425</v>
      </c>
      <c r="C273" s="302"/>
      <c r="D273" s="302"/>
      <c r="E273" s="302"/>
      <c r="F273" s="302"/>
      <c r="G273" s="303">
        <f>+G87+G119+G128+G135+G139+G151+G182+G188+G197+G202+G207+G209+G249+G253+G263+G266+G270+G272</f>
        <v>177296773369</v>
      </c>
      <c r="H273" s="298"/>
    </row>
    <row r="274" spans="2:8" x14ac:dyDescent="0.25">
      <c r="C274" s="296" t="s">
        <v>426</v>
      </c>
      <c r="D274" s="296" t="s">
        <v>749</v>
      </c>
      <c r="E274" s="296" t="s">
        <v>427</v>
      </c>
      <c r="F274" s="296" t="s">
        <v>428</v>
      </c>
      <c r="G274" s="298">
        <v>1029334000</v>
      </c>
    </row>
    <row r="275" spans="2:8" x14ac:dyDescent="0.25">
      <c r="B275" s="302" t="s">
        <v>429</v>
      </c>
      <c r="D275" s="299" t="s">
        <v>750</v>
      </c>
      <c r="E275" s="299"/>
      <c r="F275" s="299"/>
      <c r="G275" s="300">
        <v>1029334000</v>
      </c>
    </row>
    <row r="276" spans="2:8" x14ac:dyDescent="0.25">
      <c r="B276" s="296" t="s">
        <v>25</v>
      </c>
      <c r="G276" s="298">
        <f>+G273+G275</f>
        <v>178326107369</v>
      </c>
    </row>
    <row r="277" spans="2:8" x14ac:dyDescent="0.25">
      <c r="G277" s="298"/>
    </row>
  </sheetData>
  <mergeCells count="5">
    <mergeCell ref="B2:G2"/>
    <mergeCell ref="B3:G3"/>
    <mergeCell ref="B5:G5"/>
    <mergeCell ref="B6:G6"/>
    <mergeCell ref="B4:G4"/>
  </mergeCells>
  <hyperlinks>
    <hyperlink ref="A1" location="Contenido!A1" display="Volver al menú" xr:uid="{00000000-0004-0000-0200-000000000000}"/>
  </hyperlink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G6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showGridLines="0" zoomScaleNormal="100" workbookViewId="0"/>
  </sheetViews>
  <sheetFormatPr baseColWidth="10" defaultRowHeight="15" x14ac:dyDescent="0.25"/>
  <cols>
    <col min="1" max="1" width="16.28515625" customWidth="1"/>
    <col min="2" max="2" width="20.5703125" customWidth="1"/>
    <col min="3" max="3" width="35.42578125" bestFit="1" customWidth="1"/>
    <col min="4" max="4" width="12.85546875" customWidth="1"/>
    <col min="5" max="5" width="30.5703125" bestFit="1" customWidth="1"/>
    <col min="6" max="6" width="15.140625" bestFit="1" customWidth="1"/>
  </cols>
  <sheetData>
    <row r="1" spans="1:9" x14ac:dyDescent="0.25">
      <c r="A1" s="54" t="s">
        <v>494</v>
      </c>
    </row>
    <row r="3" spans="1:9" ht="26.25" x14ac:dyDescent="0.4">
      <c r="B3" s="461" t="s">
        <v>492</v>
      </c>
      <c r="C3" s="461"/>
      <c r="D3" s="461"/>
      <c r="E3" s="461"/>
      <c r="F3" s="461"/>
    </row>
    <row r="4" spans="1:9" ht="18.75" x14ac:dyDescent="0.3">
      <c r="B4" s="462" t="s">
        <v>856</v>
      </c>
      <c r="C4" s="462"/>
      <c r="D4" s="462"/>
      <c r="E4" s="462"/>
      <c r="F4" s="462"/>
    </row>
    <row r="5" spans="1:9" x14ac:dyDescent="0.25">
      <c r="B5" s="463"/>
      <c r="C5" s="463"/>
      <c r="D5" s="463"/>
      <c r="E5" s="463"/>
      <c r="F5" s="463"/>
    </row>
    <row r="7" spans="1:9" x14ac:dyDescent="0.25">
      <c r="C7" s="4"/>
    </row>
    <row r="8" spans="1:9" x14ac:dyDescent="0.25">
      <c r="B8" s="49" t="s">
        <v>29</v>
      </c>
      <c r="C8" s="49" t="s">
        <v>30</v>
      </c>
      <c r="D8" s="49" t="s">
        <v>31</v>
      </c>
      <c r="E8" s="49" t="s">
        <v>32</v>
      </c>
      <c r="F8" s="49" t="s">
        <v>25</v>
      </c>
      <c r="I8" s="282"/>
    </row>
    <row r="9" spans="1:9" x14ac:dyDescent="0.25">
      <c r="B9" s="50" t="s">
        <v>430</v>
      </c>
      <c r="C9" s="50" t="s">
        <v>431</v>
      </c>
      <c r="D9" s="50" t="s">
        <v>432</v>
      </c>
      <c r="E9" s="50" t="s">
        <v>200</v>
      </c>
      <c r="F9" s="281">
        <v>7390000000</v>
      </c>
      <c r="I9" s="282"/>
    </row>
    <row r="10" spans="1:9" x14ac:dyDescent="0.25">
      <c r="B10" s="52" t="s">
        <v>433</v>
      </c>
      <c r="C10" s="52"/>
      <c r="D10" s="52"/>
      <c r="E10" s="52"/>
      <c r="F10" s="53">
        <f>+F9</f>
        <v>7390000000</v>
      </c>
      <c r="I10" s="282"/>
    </row>
    <row r="11" spans="1:9" x14ac:dyDescent="0.25">
      <c r="B11" s="50" t="s">
        <v>434</v>
      </c>
      <c r="C11" s="50" t="s">
        <v>435</v>
      </c>
      <c r="D11" s="50" t="s">
        <v>436</v>
      </c>
      <c r="E11" s="50" t="s">
        <v>202</v>
      </c>
      <c r="F11" s="51">
        <v>1210000000</v>
      </c>
      <c r="I11" s="282"/>
    </row>
    <row r="12" spans="1:9" x14ac:dyDescent="0.25">
      <c r="B12" s="52" t="s">
        <v>437</v>
      </c>
      <c r="C12" s="52"/>
      <c r="D12" s="52"/>
      <c r="E12" s="52"/>
      <c r="F12" s="53">
        <f>+F11</f>
        <v>1210000000</v>
      </c>
      <c r="I12" s="282"/>
    </row>
    <row r="13" spans="1:9" x14ac:dyDescent="0.25">
      <c r="B13" s="50" t="s">
        <v>438</v>
      </c>
      <c r="C13" s="50" t="s">
        <v>439</v>
      </c>
      <c r="D13" s="50" t="s">
        <v>440</v>
      </c>
      <c r="E13" s="50" t="s">
        <v>441</v>
      </c>
      <c r="F13" s="51">
        <v>1500000000</v>
      </c>
      <c r="I13" s="282"/>
    </row>
    <row r="14" spans="1:9" x14ac:dyDescent="0.25">
      <c r="B14" s="52" t="s">
        <v>442</v>
      </c>
      <c r="C14" s="52"/>
      <c r="D14" s="52"/>
      <c r="E14" s="52"/>
      <c r="F14" s="53">
        <f>+F13</f>
        <v>1500000000</v>
      </c>
      <c r="I14" s="282"/>
    </row>
    <row r="15" spans="1:9" x14ac:dyDescent="0.25">
      <c r="B15" s="50" t="s">
        <v>443</v>
      </c>
      <c r="C15" s="50" t="s">
        <v>444</v>
      </c>
      <c r="D15" s="50" t="s">
        <v>445</v>
      </c>
      <c r="E15" s="50" t="s">
        <v>446</v>
      </c>
      <c r="F15" s="281">
        <v>4000000000</v>
      </c>
      <c r="I15" s="282"/>
    </row>
    <row r="16" spans="1:9" x14ac:dyDescent="0.25">
      <c r="B16" s="52" t="s">
        <v>447</v>
      </c>
      <c r="C16" s="52"/>
      <c r="D16" s="52"/>
      <c r="E16" s="52"/>
      <c r="F16" s="53">
        <f>+F15</f>
        <v>4000000000</v>
      </c>
      <c r="I16" s="282"/>
    </row>
    <row r="17" spans="2:9" x14ac:dyDescent="0.25">
      <c r="B17" s="272">
        <v>1532</v>
      </c>
      <c r="C17" s="50" t="s">
        <v>723</v>
      </c>
      <c r="D17" s="50">
        <v>15321501</v>
      </c>
      <c r="E17" s="50" t="s">
        <v>761</v>
      </c>
      <c r="F17" s="51">
        <v>1900000000</v>
      </c>
      <c r="I17" s="282"/>
    </row>
    <row r="18" spans="2:9" x14ac:dyDescent="0.25">
      <c r="B18" s="52" t="s">
        <v>724</v>
      </c>
      <c r="C18" s="52"/>
      <c r="D18" s="52"/>
      <c r="E18" s="52"/>
      <c r="F18" s="53">
        <f>+F17</f>
        <v>1900000000</v>
      </c>
      <c r="I18" s="282"/>
    </row>
    <row r="19" spans="2:9" ht="15.75" thickBot="1" x14ac:dyDescent="0.3">
      <c r="B19" s="6" t="s">
        <v>25</v>
      </c>
      <c r="C19" s="6"/>
      <c r="D19" s="6"/>
      <c r="E19" s="6"/>
      <c r="F19" s="7">
        <f>+F10+F12+F14+F16+F18</f>
        <v>16000000000</v>
      </c>
      <c r="I19" s="282"/>
    </row>
    <row r="20" spans="2:9" ht="15.75" thickTop="1" x14ac:dyDescent="0.25">
      <c r="F20" s="283"/>
      <c r="I20" s="282"/>
    </row>
    <row r="21" spans="2:9" x14ac:dyDescent="0.25">
      <c r="I21" s="282"/>
    </row>
    <row r="22" spans="2:9" x14ac:dyDescent="0.25">
      <c r="I22" s="282"/>
    </row>
  </sheetData>
  <mergeCells count="3">
    <mergeCell ref="B3:F3"/>
    <mergeCell ref="B4:F4"/>
    <mergeCell ref="B5:F5"/>
  </mergeCells>
  <hyperlinks>
    <hyperlink ref="A1" location="Contenido!A1" display="Volver al menú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36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ColWidth="11.42578125" defaultRowHeight="11.25" x14ac:dyDescent="0.2"/>
  <cols>
    <col min="1" max="1" width="2.7109375" style="336" customWidth="1"/>
    <col min="2" max="2" width="56.5703125" style="336" customWidth="1"/>
    <col min="3" max="3" width="11.28515625" style="336" customWidth="1"/>
    <col min="4" max="4" width="8" style="339" customWidth="1"/>
    <col min="5" max="5" width="17.140625" style="336" bestFit="1" customWidth="1"/>
    <col min="6" max="6" width="11.28515625" style="336" customWidth="1"/>
    <col min="7" max="7" width="18" style="336" customWidth="1"/>
    <col min="8" max="8" width="7.5703125" style="336" customWidth="1"/>
    <col min="9" max="9" width="17.140625" style="336" bestFit="1" customWidth="1"/>
    <col min="10" max="10" width="7.85546875" style="336" customWidth="1"/>
    <col min="11" max="11" width="17.140625" style="336" bestFit="1" customWidth="1"/>
    <col min="12" max="12" width="12.85546875" style="336" customWidth="1"/>
    <col min="13" max="13" width="20" style="336" customWidth="1"/>
    <col min="14" max="14" width="12.85546875" style="336" customWidth="1"/>
    <col min="15" max="15" width="17.42578125" style="336" customWidth="1"/>
    <col min="16" max="16" width="17.7109375" style="336" customWidth="1"/>
    <col min="17" max="17" width="16.5703125" style="336" customWidth="1"/>
    <col min="18" max="18" width="19.5703125" style="336" customWidth="1"/>
    <col min="19" max="19" width="17" style="336" customWidth="1"/>
    <col min="20" max="20" width="18.28515625" style="336" customWidth="1"/>
    <col min="21" max="22" width="17.5703125" style="336" customWidth="1"/>
    <col min="23" max="23" width="16.5703125" style="336" customWidth="1"/>
    <col min="24" max="24" width="19.140625" style="336" customWidth="1"/>
    <col min="25" max="25" width="20" style="336" customWidth="1"/>
    <col min="26" max="27" width="18.5703125" style="336" customWidth="1"/>
    <col min="28" max="32" width="11.42578125" style="336"/>
    <col min="33" max="33" width="13.28515625" style="336" bestFit="1" customWidth="1"/>
    <col min="34" max="16384" width="11.42578125" style="336"/>
  </cols>
  <sheetData>
    <row r="1" spans="2:33" ht="12" customHeight="1" x14ac:dyDescent="0.25">
      <c r="B1" s="305" t="s">
        <v>494</v>
      </c>
      <c r="C1" s="337"/>
      <c r="D1" s="338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3" spans="2:33" ht="26.25" x14ac:dyDescent="0.4">
      <c r="B3" s="488" t="s">
        <v>493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</row>
    <row r="4" spans="2:33" ht="18.75" x14ac:dyDescent="0.3">
      <c r="B4" s="489" t="s">
        <v>850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</row>
    <row r="5" spans="2:33" ht="15" x14ac:dyDescent="0.25">
      <c r="B5" s="340"/>
      <c r="C5" s="341"/>
      <c r="D5" s="342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</row>
    <row r="6" spans="2:33" ht="12" x14ac:dyDescent="0.2">
      <c r="B6" s="341"/>
      <c r="C6" s="341"/>
      <c r="D6" s="342"/>
      <c r="E6" s="341"/>
      <c r="F6" s="341"/>
      <c r="G6" s="341"/>
      <c r="H6" s="341"/>
      <c r="I6" s="341"/>
      <c r="J6" s="341"/>
      <c r="K6" s="341"/>
      <c r="L6" s="341"/>
      <c r="M6" s="343"/>
      <c r="N6" s="343"/>
      <c r="O6" s="343"/>
      <c r="P6" s="344"/>
      <c r="Q6" s="345"/>
      <c r="R6" s="343"/>
      <c r="S6" s="341"/>
      <c r="T6" s="341"/>
      <c r="U6" s="343"/>
      <c r="V6" s="341"/>
      <c r="W6" s="341"/>
    </row>
    <row r="7" spans="2:33" ht="12.75" thickBot="1" x14ac:dyDescent="0.25">
      <c r="B7" s="341"/>
      <c r="C7" s="341"/>
      <c r="D7" s="342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2:33" ht="17.25" customHeight="1" thickBot="1" x14ac:dyDescent="0.3">
      <c r="B8" s="341"/>
      <c r="C8" s="341"/>
      <c r="D8" s="342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6"/>
      <c r="R8" s="306" t="s">
        <v>536</v>
      </c>
      <c r="S8" s="346"/>
      <c r="T8" s="346"/>
      <c r="U8" s="306" t="s">
        <v>536</v>
      </c>
      <c r="V8" s="346"/>
      <c r="W8" s="346"/>
    </row>
    <row r="9" spans="2:33" ht="75" customHeight="1" thickBot="1" x14ac:dyDescent="0.25">
      <c r="B9" s="347" t="s">
        <v>23</v>
      </c>
      <c r="C9" s="348" t="s">
        <v>667</v>
      </c>
      <c r="D9" s="66" t="s">
        <v>554</v>
      </c>
      <c r="E9" s="66" t="s">
        <v>751</v>
      </c>
      <c r="F9" s="67" t="s">
        <v>24</v>
      </c>
      <c r="G9" s="66" t="s">
        <v>772</v>
      </c>
      <c r="H9" s="66" t="s">
        <v>537</v>
      </c>
      <c r="I9" s="66" t="s">
        <v>538</v>
      </c>
      <c r="J9" s="66" t="s">
        <v>539</v>
      </c>
      <c r="K9" s="66" t="s">
        <v>540</v>
      </c>
      <c r="L9" s="307" t="s">
        <v>800</v>
      </c>
      <c r="M9" s="67" t="s">
        <v>802</v>
      </c>
      <c r="N9" s="307" t="s">
        <v>803</v>
      </c>
      <c r="O9" s="67" t="s">
        <v>801</v>
      </c>
      <c r="P9" s="67" t="s">
        <v>804</v>
      </c>
      <c r="Q9" s="67" t="s">
        <v>541</v>
      </c>
      <c r="R9" s="280">
        <v>4.58E-2</v>
      </c>
      <c r="S9" s="67" t="s">
        <v>542</v>
      </c>
      <c r="T9" s="67" t="s">
        <v>543</v>
      </c>
      <c r="U9" s="280">
        <v>4.58E-2</v>
      </c>
      <c r="V9" s="67" t="s">
        <v>544</v>
      </c>
      <c r="W9" s="68" t="s">
        <v>545</v>
      </c>
    </row>
    <row r="10" spans="2:33" ht="16.5" thickBot="1" x14ac:dyDescent="0.25">
      <c r="B10" s="308" t="s">
        <v>546</v>
      </c>
      <c r="C10" s="276"/>
      <c r="D10" s="289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</row>
    <row r="11" spans="2:33" s="349" customFormat="1" ht="12.75" x14ac:dyDescent="0.2">
      <c r="B11" s="350" t="s">
        <v>503</v>
      </c>
      <c r="C11" s="350"/>
      <c r="D11" s="351"/>
      <c r="E11" s="352"/>
      <c r="F11" s="352"/>
      <c r="G11" s="352"/>
      <c r="H11" s="352"/>
      <c r="I11" s="352"/>
      <c r="J11" s="352"/>
      <c r="K11" s="352"/>
      <c r="L11" s="353"/>
      <c r="M11" s="353"/>
      <c r="N11" s="353"/>
      <c r="O11" s="353"/>
      <c r="P11" s="354"/>
      <c r="Q11" s="354"/>
      <c r="R11" s="354"/>
      <c r="S11" s="354"/>
      <c r="T11" s="354"/>
      <c r="U11" s="354"/>
      <c r="V11" s="354"/>
      <c r="W11" s="354"/>
    </row>
    <row r="12" spans="2:33" s="355" customFormat="1" ht="12" customHeight="1" x14ac:dyDescent="0.2">
      <c r="B12" s="356" t="s">
        <v>773</v>
      </c>
      <c r="C12" s="356">
        <v>1044</v>
      </c>
      <c r="D12" s="479">
        <v>170</v>
      </c>
      <c r="E12" s="357">
        <v>8874000</v>
      </c>
      <c r="F12" s="358">
        <f t="shared" ref="F12:F23" si="0">(G12/E12)-1</f>
        <v>5.4992111787243614E-2</v>
      </c>
      <c r="G12" s="357">
        <v>9362000</v>
      </c>
      <c r="H12" s="359">
        <v>0.03</v>
      </c>
      <c r="I12" s="360">
        <f>+(G12*H12)+G12</f>
        <v>9642860</v>
      </c>
      <c r="J12" s="359">
        <v>0.05</v>
      </c>
      <c r="K12" s="360">
        <f>+(G12*J12)+G12</f>
        <v>9830100</v>
      </c>
      <c r="L12" s="470">
        <v>295</v>
      </c>
      <c r="M12" s="468">
        <v>2329795299.2235999</v>
      </c>
      <c r="N12" s="470">
        <v>270</v>
      </c>
      <c r="O12" s="464">
        <v>2085650396.719728</v>
      </c>
      <c r="P12" s="464">
        <f>+M12+O12</f>
        <v>4415445695.9433279</v>
      </c>
      <c r="Q12" s="464">
        <f>M12/(1+F12)</f>
        <v>2208353288.3262367</v>
      </c>
      <c r="R12" s="464">
        <f>($Q12*$R$9)+$Q12</f>
        <v>2309495868.9315782</v>
      </c>
      <c r="S12" s="473">
        <f>M12-R12</f>
        <v>20299430.292021751</v>
      </c>
      <c r="T12" s="464">
        <f>O12/(1+F12)</f>
        <v>1976934588.8155167</v>
      </c>
      <c r="U12" s="464">
        <f>($T12*$U$9)+$T12</f>
        <v>2067478192.9832673</v>
      </c>
      <c r="V12" s="464">
        <f>O12-U12</f>
        <v>18172203.736460686</v>
      </c>
      <c r="W12" s="464">
        <f>S12+V12</f>
        <v>38471634.028482437</v>
      </c>
      <c r="Y12" s="361"/>
      <c r="AA12" s="361"/>
      <c r="AB12" s="362"/>
      <c r="AC12" s="362"/>
      <c r="AD12" s="362"/>
      <c r="AE12" s="362"/>
      <c r="AF12" s="362"/>
      <c r="AG12" s="361"/>
    </row>
    <row r="13" spans="2:33" s="355" customFormat="1" ht="12" customHeight="1" x14ac:dyDescent="0.2">
      <c r="B13" s="356" t="s">
        <v>585</v>
      </c>
      <c r="C13" s="356">
        <v>1044</v>
      </c>
      <c r="D13" s="479"/>
      <c r="E13" s="357">
        <v>8411000</v>
      </c>
      <c r="F13" s="358">
        <f t="shared" si="0"/>
        <v>5.4928070384020922E-2</v>
      </c>
      <c r="G13" s="357">
        <v>8873000</v>
      </c>
      <c r="H13" s="359">
        <v>0.03</v>
      </c>
      <c r="I13" s="360">
        <f>+(G13*H13)+G13</f>
        <v>9139190</v>
      </c>
      <c r="J13" s="359">
        <v>0.05</v>
      </c>
      <c r="K13" s="360">
        <f t="shared" ref="K13:K22" si="1">+(G13*J13)+G13</f>
        <v>9316650</v>
      </c>
      <c r="L13" s="471"/>
      <c r="M13" s="469"/>
      <c r="N13" s="471"/>
      <c r="O13" s="467"/>
      <c r="P13" s="467"/>
      <c r="Q13" s="467"/>
      <c r="R13" s="467"/>
      <c r="S13" s="467"/>
      <c r="T13" s="467"/>
      <c r="U13" s="467"/>
      <c r="V13" s="467"/>
      <c r="W13" s="467"/>
      <c r="Y13" s="361"/>
      <c r="AA13" s="361"/>
      <c r="AB13" s="362"/>
      <c r="AC13" s="362"/>
      <c r="AD13" s="362"/>
      <c r="AE13" s="362"/>
      <c r="AF13" s="362"/>
      <c r="AG13" s="361"/>
    </row>
    <row r="14" spans="2:33" s="355" customFormat="1" ht="12" customHeight="1" x14ac:dyDescent="0.2">
      <c r="B14" s="356" t="s">
        <v>774</v>
      </c>
      <c r="C14" s="356">
        <v>8114</v>
      </c>
      <c r="D14" s="481">
        <v>175</v>
      </c>
      <c r="E14" s="357">
        <v>8874000</v>
      </c>
      <c r="F14" s="358">
        <f t="shared" si="0"/>
        <v>5.4992111787243614E-2</v>
      </c>
      <c r="G14" s="357">
        <v>9362000</v>
      </c>
      <c r="H14" s="359">
        <v>0.03</v>
      </c>
      <c r="I14" s="360">
        <f>+(G14*H14)+G14</f>
        <v>9642860</v>
      </c>
      <c r="J14" s="359">
        <v>0.05</v>
      </c>
      <c r="K14" s="360">
        <f t="shared" si="1"/>
        <v>9830100</v>
      </c>
      <c r="L14" s="470">
        <v>517</v>
      </c>
      <c r="M14" s="468">
        <v>4388928113.1226349</v>
      </c>
      <c r="N14" s="470">
        <v>506</v>
      </c>
      <c r="O14" s="464">
        <v>4209766056.304173</v>
      </c>
      <c r="P14" s="464">
        <f>+M14+O14</f>
        <v>8598694169.4268074</v>
      </c>
      <c r="Q14" s="464">
        <f>M14/(1+F14)</f>
        <v>4160152539.6122904</v>
      </c>
      <c r="R14" s="464">
        <f>($Q14*$R$9)+$Q14</f>
        <v>4350687525.9265337</v>
      </c>
      <c r="S14" s="473">
        <f>M14-R14</f>
        <v>38240587.196101189</v>
      </c>
      <c r="T14" s="464">
        <f>O14/(1+F14)</f>
        <v>3990329415.0441394</v>
      </c>
      <c r="U14" s="464">
        <f>($T14*$U$9)+$T14</f>
        <v>4173086502.253161</v>
      </c>
      <c r="V14" s="464">
        <f>O14-U14</f>
        <v>36679554.051012039</v>
      </c>
      <c r="W14" s="464">
        <f>S14+V14</f>
        <v>74920141.247113228</v>
      </c>
      <c r="Y14" s="361"/>
      <c r="AA14" s="361"/>
      <c r="AB14" s="362"/>
      <c r="AC14" s="362"/>
      <c r="AD14" s="362"/>
      <c r="AE14" s="362"/>
      <c r="AF14" s="362"/>
      <c r="AG14" s="361"/>
    </row>
    <row r="15" spans="2:33" s="355" customFormat="1" ht="12" customHeight="1" x14ac:dyDescent="0.2">
      <c r="B15" s="356" t="s">
        <v>588</v>
      </c>
      <c r="C15" s="356">
        <v>8114</v>
      </c>
      <c r="D15" s="481"/>
      <c r="E15" s="357">
        <v>8491000</v>
      </c>
      <c r="F15" s="358">
        <f t="shared" si="0"/>
        <v>5.4999411141208432E-2</v>
      </c>
      <c r="G15" s="357">
        <v>8958000</v>
      </c>
      <c r="H15" s="359">
        <v>0.03</v>
      </c>
      <c r="I15" s="360">
        <f t="shared" ref="I15:I22" si="2">+(G15*H15)+G15</f>
        <v>9226740</v>
      </c>
      <c r="J15" s="359">
        <v>0.05</v>
      </c>
      <c r="K15" s="360">
        <f t="shared" si="1"/>
        <v>9405900</v>
      </c>
      <c r="L15" s="471"/>
      <c r="M15" s="469"/>
      <c r="N15" s="471"/>
      <c r="O15" s="467"/>
      <c r="P15" s="467"/>
      <c r="Q15" s="467"/>
      <c r="R15" s="467"/>
      <c r="S15" s="467"/>
      <c r="T15" s="467"/>
      <c r="U15" s="467"/>
      <c r="V15" s="467"/>
      <c r="W15" s="467"/>
      <c r="Y15" s="361"/>
      <c r="AA15" s="361"/>
      <c r="AB15" s="362"/>
      <c r="AC15" s="362"/>
      <c r="AD15" s="362"/>
      <c r="AE15" s="362"/>
      <c r="AF15" s="362"/>
      <c r="AG15" s="361"/>
    </row>
    <row r="16" spans="2:33" s="355" customFormat="1" ht="12" customHeight="1" x14ac:dyDescent="0.2">
      <c r="B16" s="356" t="s">
        <v>775</v>
      </c>
      <c r="C16" s="356">
        <v>1043</v>
      </c>
      <c r="D16" s="479">
        <v>170</v>
      </c>
      <c r="E16" s="357">
        <v>8874000</v>
      </c>
      <c r="F16" s="358">
        <f t="shared" si="0"/>
        <v>5.4992111787243614E-2</v>
      </c>
      <c r="G16" s="357">
        <v>9362000</v>
      </c>
      <c r="H16" s="359">
        <v>0.03</v>
      </c>
      <c r="I16" s="360">
        <f t="shared" si="2"/>
        <v>9642860</v>
      </c>
      <c r="J16" s="359">
        <v>0.05</v>
      </c>
      <c r="K16" s="360">
        <f t="shared" si="1"/>
        <v>9830100</v>
      </c>
      <c r="L16" s="470">
        <v>132</v>
      </c>
      <c r="M16" s="468">
        <v>1142570200</v>
      </c>
      <c r="N16" s="470">
        <v>122</v>
      </c>
      <c r="O16" s="464">
        <v>1065130600</v>
      </c>
      <c r="P16" s="464">
        <f>+M16+O16</f>
        <v>2207700800</v>
      </c>
      <c r="Q16" s="464">
        <f>M16/(1+F16)</f>
        <v>1083013026.5755181</v>
      </c>
      <c r="R16" s="464">
        <f>($Q16*$R$9)+$Q16</f>
        <v>1132615023.1926768</v>
      </c>
      <c r="S16" s="473">
        <f>M16-R16</f>
        <v>9955176.8073232174</v>
      </c>
      <c r="T16" s="464">
        <f>O16/(1+F16)</f>
        <v>1009610013.2877591</v>
      </c>
      <c r="U16" s="464">
        <f t="shared" ref="U16:U23" si="3">($T16*$U$9)+$T16</f>
        <v>1055850151.8963385</v>
      </c>
      <c r="V16" s="464">
        <f>O16-U16</f>
        <v>9280448.1036615372</v>
      </c>
      <c r="W16" s="464">
        <f t="shared" ref="W16:W22" si="4">S16+V16</f>
        <v>19235624.910984755</v>
      </c>
      <c r="Y16" s="361"/>
      <c r="AA16" s="361"/>
      <c r="AB16" s="362"/>
      <c r="AC16" s="362"/>
      <c r="AD16" s="362"/>
      <c r="AE16" s="362"/>
      <c r="AF16" s="362"/>
      <c r="AG16" s="361"/>
    </row>
    <row r="17" spans="2:33" s="355" customFormat="1" ht="12" customHeight="1" x14ac:dyDescent="0.2">
      <c r="B17" s="356" t="s">
        <v>590</v>
      </c>
      <c r="C17" s="356">
        <v>1043</v>
      </c>
      <c r="D17" s="479"/>
      <c r="E17" s="357">
        <v>8411000</v>
      </c>
      <c r="F17" s="358">
        <f t="shared" si="0"/>
        <v>5.4928070384020922E-2</v>
      </c>
      <c r="G17" s="357">
        <v>8873000</v>
      </c>
      <c r="H17" s="359">
        <v>0.03</v>
      </c>
      <c r="I17" s="360">
        <f t="shared" si="2"/>
        <v>9139190</v>
      </c>
      <c r="J17" s="359">
        <v>0.05</v>
      </c>
      <c r="K17" s="360">
        <f t="shared" si="1"/>
        <v>9316650</v>
      </c>
      <c r="L17" s="471"/>
      <c r="M17" s="469"/>
      <c r="N17" s="471"/>
      <c r="O17" s="467"/>
      <c r="P17" s="467"/>
      <c r="Q17" s="467"/>
      <c r="R17" s="467"/>
      <c r="S17" s="467"/>
      <c r="T17" s="467"/>
      <c r="U17" s="467"/>
      <c r="V17" s="467"/>
      <c r="W17" s="467"/>
      <c r="Y17" s="361"/>
      <c r="AA17" s="361"/>
      <c r="AB17" s="362"/>
      <c r="AC17" s="362"/>
      <c r="AD17" s="362"/>
      <c r="AE17" s="362"/>
      <c r="AF17" s="362"/>
      <c r="AG17" s="361"/>
    </row>
    <row r="18" spans="2:33" s="355" customFormat="1" ht="12" customHeight="1" x14ac:dyDescent="0.2">
      <c r="B18" s="356" t="s">
        <v>776</v>
      </c>
      <c r="C18" s="356">
        <v>1042</v>
      </c>
      <c r="D18" s="481">
        <v>170</v>
      </c>
      <c r="E18" s="357">
        <v>8874000</v>
      </c>
      <c r="F18" s="358">
        <f t="shared" si="0"/>
        <v>5.4992111787243614E-2</v>
      </c>
      <c r="G18" s="357">
        <v>9362000</v>
      </c>
      <c r="H18" s="359">
        <v>0.03</v>
      </c>
      <c r="I18" s="360">
        <f t="shared" si="2"/>
        <v>9642860</v>
      </c>
      <c r="J18" s="359">
        <v>0.05</v>
      </c>
      <c r="K18" s="360">
        <f t="shared" si="1"/>
        <v>9830100</v>
      </c>
      <c r="L18" s="470">
        <v>203</v>
      </c>
      <c r="M18" s="468">
        <v>1658250559.4206812</v>
      </c>
      <c r="N18" s="470">
        <v>203</v>
      </c>
      <c r="O18" s="464">
        <v>1657378185.9740026</v>
      </c>
      <c r="P18" s="464">
        <f>+M18+O18</f>
        <v>3315628745.3946838</v>
      </c>
      <c r="Q18" s="464">
        <f>M18/(1+F18)</f>
        <v>1571813230.5382531</v>
      </c>
      <c r="R18" s="464">
        <f>($Q18*$R$9)+$Q18</f>
        <v>1643802276.4969051</v>
      </c>
      <c r="S18" s="464">
        <f>M18-R18</f>
        <v>14448282.92377615</v>
      </c>
      <c r="T18" s="464">
        <f>O18/(1+F18)</f>
        <v>1570986330.0932813</v>
      </c>
      <c r="U18" s="464">
        <f t="shared" si="3"/>
        <v>1642937504.0115535</v>
      </c>
      <c r="V18" s="464">
        <f>O18-U18</f>
        <v>14440681.962449074</v>
      </c>
      <c r="W18" s="464">
        <f t="shared" si="4"/>
        <v>28888964.886225224</v>
      </c>
      <c r="Y18" s="361"/>
      <c r="AA18" s="361"/>
      <c r="AB18" s="362"/>
      <c r="AC18" s="362"/>
      <c r="AD18" s="362"/>
      <c r="AE18" s="362"/>
      <c r="AF18" s="362"/>
      <c r="AG18" s="361"/>
    </row>
    <row r="19" spans="2:33" s="355" customFormat="1" ht="13.5" customHeight="1" x14ac:dyDescent="0.2">
      <c r="B19" s="356" t="s">
        <v>599</v>
      </c>
      <c r="C19" s="356">
        <v>1042</v>
      </c>
      <c r="D19" s="481"/>
      <c r="E19" s="357">
        <v>8411000</v>
      </c>
      <c r="F19" s="358">
        <f t="shared" si="0"/>
        <v>5.4928070384020922E-2</v>
      </c>
      <c r="G19" s="357">
        <v>8873000</v>
      </c>
      <c r="H19" s="359">
        <v>0.03</v>
      </c>
      <c r="I19" s="360">
        <f t="shared" si="2"/>
        <v>9139190</v>
      </c>
      <c r="J19" s="359">
        <v>0.05</v>
      </c>
      <c r="K19" s="360">
        <f t="shared" si="1"/>
        <v>9316650</v>
      </c>
      <c r="L19" s="471"/>
      <c r="M19" s="469"/>
      <c r="N19" s="471"/>
      <c r="O19" s="467"/>
      <c r="P19" s="467"/>
      <c r="Q19" s="467"/>
      <c r="R19" s="467"/>
      <c r="S19" s="467"/>
      <c r="T19" s="467"/>
      <c r="U19" s="467"/>
      <c r="V19" s="467"/>
      <c r="W19" s="467"/>
      <c r="Y19" s="361"/>
      <c r="AA19" s="361"/>
      <c r="AB19" s="362"/>
      <c r="AC19" s="362"/>
      <c r="AD19" s="362"/>
      <c r="AE19" s="362"/>
      <c r="AF19" s="362"/>
      <c r="AG19" s="361"/>
    </row>
    <row r="20" spans="2:33" s="355" customFormat="1" ht="13.5" customHeight="1" x14ac:dyDescent="0.2">
      <c r="B20" s="356" t="s">
        <v>702</v>
      </c>
      <c r="C20" s="356">
        <v>106932</v>
      </c>
      <c r="D20" s="363">
        <v>148</v>
      </c>
      <c r="E20" s="357">
        <v>8874000</v>
      </c>
      <c r="F20" s="358">
        <f t="shared" si="0"/>
        <v>5.4992111787243614E-2</v>
      </c>
      <c r="G20" s="357">
        <v>9362000</v>
      </c>
      <c r="H20" s="359">
        <v>0.03</v>
      </c>
      <c r="I20" s="360">
        <f t="shared" si="2"/>
        <v>9642860</v>
      </c>
      <c r="J20" s="359">
        <v>0.05</v>
      </c>
      <c r="K20" s="360">
        <f t="shared" si="1"/>
        <v>9830100</v>
      </c>
      <c r="L20" s="364">
        <v>76</v>
      </c>
      <c r="M20" s="357">
        <v>634889274.19587815</v>
      </c>
      <c r="N20" s="364">
        <v>92</v>
      </c>
      <c r="O20" s="357">
        <v>776722608.02770352</v>
      </c>
      <c r="P20" s="365">
        <f>+M20+O20</f>
        <v>1411611882.2235818</v>
      </c>
      <c r="Q20" s="365">
        <f>M20/(1+F20)</f>
        <v>601795280.83894706</v>
      </c>
      <c r="R20" s="365">
        <f>($Q20*$R$9)+$Q20</f>
        <v>629357504.70137084</v>
      </c>
      <c r="S20" s="365">
        <f>M20-R20</f>
        <v>5531769.4945073128</v>
      </c>
      <c r="T20" s="365">
        <f>O20/(1+F20)</f>
        <v>736235465.03288198</v>
      </c>
      <c r="U20" s="365">
        <f>($T20*$U$9)+$T20</f>
        <v>769955049.331388</v>
      </c>
      <c r="V20" s="365">
        <f>O20-U20</f>
        <v>6767558.696315527</v>
      </c>
      <c r="W20" s="365">
        <f t="shared" ref="W20" si="5">S20+V20</f>
        <v>12299328.19082284</v>
      </c>
      <c r="Y20" s="361"/>
      <c r="AA20" s="361"/>
      <c r="AB20" s="362"/>
      <c r="AC20" s="362"/>
      <c r="AD20" s="362"/>
      <c r="AE20" s="362"/>
      <c r="AF20" s="362"/>
      <c r="AG20" s="361"/>
    </row>
    <row r="21" spans="2:33" s="355" customFormat="1" ht="12" customHeight="1" x14ac:dyDescent="0.2">
      <c r="B21" s="356" t="s">
        <v>576</v>
      </c>
      <c r="C21" s="356">
        <v>53052</v>
      </c>
      <c r="D21" s="363">
        <v>144</v>
      </c>
      <c r="E21" s="357">
        <v>5278000</v>
      </c>
      <c r="F21" s="358">
        <f t="shared" si="0"/>
        <v>5.4945054945054972E-2</v>
      </c>
      <c r="G21" s="357">
        <v>5568000</v>
      </c>
      <c r="H21" s="359">
        <v>0.03</v>
      </c>
      <c r="I21" s="360">
        <f t="shared" si="2"/>
        <v>5735040</v>
      </c>
      <c r="J21" s="359">
        <v>0.05</v>
      </c>
      <c r="K21" s="360">
        <f t="shared" si="1"/>
        <v>5846400</v>
      </c>
      <c r="L21" s="364">
        <v>27</v>
      </c>
      <c r="M21" s="357">
        <v>105840972.87644771</v>
      </c>
      <c r="N21" s="364">
        <v>22</v>
      </c>
      <c r="O21" s="357">
        <v>84142881.754344597</v>
      </c>
      <c r="P21" s="365">
        <f>+M21+O21</f>
        <v>189983854.63079232</v>
      </c>
      <c r="Q21" s="365">
        <f>M21/(1+F21)</f>
        <v>100328422.20579939</v>
      </c>
      <c r="R21" s="365">
        <f t="shared" ref="R21:R23" si="6">($Q21*$R$9)+$Q21</f>
        <v>104923463.942825</v>
      </c>
      <c r="S21" s="365">
        <f>M21-R21</f>
        <v>917508.93362270296</v>
      </c>
      <c r="T21" s="365">
        <f>O21/(1+F21)</f>
        <v>79760439.996305808</v>
      </c>
      <c r="U21" s="365">
        <f t="shared" si="3"/>
        <v>83413468.148136616</v>
      </c>
      <c r="V21" s="365">
        <f>O21-U21</f>
        <v>729413.60620798171</v>
      </c>
      <c r="W21" s="365">
        <f t="shared" si="4"/>
        <v>1646922.5398306847</v>
      </c>
      <c r="Y21" s="361"/>
      <c r="AA21" s="361"/>
      <c r="AB21" s="362"/>
      <c r="AC21" s="362"/>
      <c r="AD21" s="362"/>
      <c r="AE21" s="362"/>
      <c r="AF21" s="362"/>
      <c r="AG21" s="361"/>
    </row>
    <row r="22" spans="2:33" s="355" customFormat="1" ht="12" customHeight="1" x14ac:dyDescent="0.2">
      <c r="B22" s="356" t="s">
        <v>577</v>
      </c>
      <c r="C22" s="356">
        <v>54562</v>
      </c>
      <c r="D22" s="363">
        <v>170</v>
      </c>
      <c r="E22" s="357">
        <v>7634000</v>
      </c>
      <c r="F22" s="358">
        <f t="shared" si="0"/>
        <v>4.8991354466858761E-2</v>
      </c>
      <c r="G22" s="357">
        <v>8008000</v>
      </c>
      <c r="H22" s="359">
        <v>0.03</v>
      </c>
      <c r="I22" s="360">
        <f t="shared" si="2"/>
        <v>8248240</v>
      </c>
      <c r="J22" s="359">
        <v>0.05</v>
      </c>
      <c r="K22" s="360">
        <f t="shared" si="1"/>
        <v>8408400</v>
      </c>
      <c r="L22" s="363">
        <v>143</v>
      </c>
      <c r="M22" s="357">
        <v>1001813618.1042558</v>
      </c>
      <c r="N22" s="364">
        <v>133</v>
      </c>
      <c r="O22" s="365">
        <v>943913203.53608191</v>
      </c>
      <c r="P22" s="365">
        <f>+M22+O22</f>
        <v>1945726821.6403377</v>
      </c>
      <c r="Q22" s="365">
        <f>M22/(1+F22)</f>
        <v>955025619.45652962</v>
      </c>
      <c r="R22" s="365">
        <f t="shared" si="6"/>
        <v>998765792.82763863</v>
      </c>
      <c r="S22" s="365">
        <f>M22-R22</f>
        <v>3047825.2766171694</v>
      </c>
      <c r="T22" s="365">
        <f>O22/(1+F22)</f>
        <v>899829345.12917697</v>
      </c>
      <c r="U22" s="365">
        <f t="shared" si="3"/>
        <v>941041529.13609326</v>
      </c>
      <c r="V22" s="365">
        <f>O22-U22</f>
        <v>2871674.3999886513</v>
      </c>
      <c r="W22" s="365">
        <f t="shared" si="4"/>
        <v>5919499.6766058207</v>
      </c>
      <c r="Y22" s="361"/>
      <c r="AA22" s="361"/>
      <c r="AB22" s="362"/>
      <c r="AC22" s="362"/>
      <c r="AD22" s="362"/>
      <c r="AE22" s="362"/>
      <c r="AF22" s="362"/>
      <c r="AG22" s="361"/>
    </row>
    <row r="23" spans="2:33" s="355" customFormat="1" ht="12" customHeight="1" x14ac:dyDescent="0.2">
      <c r="B23" s="356" t="s">
        <v>752</v>
      </c>
      <c r="C23" s="356">
        <v>108767</v>
      </c>
      <c r="D23" s="363">
        <v>149</v>
      </c>
      <c r="E23" s="357">
        <v>9381000</v>
      </c>
      <c r="F23" s="358">
        <f t="shared" si="0"/>
        <v>3.9974416373520949E-2</v>
      </c>
      <c r="G23" s="357">
        <v>9756000</v>
      </c>
      <c r="H23" s="359">
        <v>0.03</v>
      </c>
      <c r="I23" s="360">
        <f t="shared" ref="I23" si="7">+(G23*H23)+G23</f>
        <v>10048680</v>
      </c>
      <c r="J23" s="359">
        <v>0.05</v>
      </c>
      <c r="K23" s="360">
        <f t="shared" ref="K23" si="8">+(G23*J23)+G23</f>
        <v>10243800</v>
      </c>
      <c r="L23" s="363">
        <v>72</v>
      </c>
      <c r="M23" s="357">
        <v>595291503.50967968</v>
      </c>
      <c r="N23" s="364">
        <v>90</v>
      </c>
      <c r="O23" s="357">
        <v>768236375.70936489</v>
      </c>
      <c r="P23" s="365">
        <f>+M23+O23</f>
        <v>1363527879.2190447</v>
      </c>
      <c r="Q23" s="365">
        <f>M23/(1+F23)</f>
        <v>572409757.52606654</v>
      </c>
      <c r="R23" s="365">
        <f t="shared" si="6"/>
        <v>598626124.42076039</v>
      </c>
      <c r="S23" s="365">
        <f>M23-R23</f>
        <v>-3334620.911080718</v>
      </c>
      <c r="T23" s="365">
        <f>O23/(1+F23)</f>
        <v>738706994.72422636</v>
      </c>
      <c r="U23" s="365">
        <f t="shared" si="3"/>
        <v>772539775.08259594</v>
      </c>
      <c r="V23" s="365">
        <f>O23-U23</f>
        <v>-4303399.3732310534</v>
      </c>
      <c r="W23" s="365">
        <f>S23+V23</f>
        <v>-7638020.2843117714</v>
      </c>
      <c r="Y23" s="361"/>
      <c r="AA23" s="361"/>
      <c r="AB23" s="362"/>
      <c r="AC23" s="362"/>
      <c r="AD23" s="362"/>
      <c r="AE23" s="362"/>
      <c r="AF23" s="362"/>
      <c r="AG23" s="361"/>
    </row>
    <row r="24" spans="2:33" s="349" customFormat="1" ht="12.75" x14ac:dyDescent="0.2">
      <c r="B24" s="350" t="s">
        <v>504</v>
      </c>
      <c r="C24" s="350"/>
      <c r="D24" s="351"/>
      <c r="E24" s="366"/>
      <c r="F24" s="367"/>
      <c r="G24" s="352"/>
      <c r="H24" s="366"/>
      <c r="I24" s="366"/>
      <c r="J24" s="366"/>
      <c r="K24" s="368"/>
      <c r="L24" s="369"/>
      <c r="M24" s="370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Y24" s="371"/>
      <c r="AA24" s="371"/>
      <c r="AB24" s="372"/>
      <c r="AC24" s="372"/>
      <c r="AD24" s="372"/>
      <c r="AE24" s="372"/>
      <c r="AF24" s="372"/>
      <c r="AG24" s="371"/>
    </row>
    <row r="25" spans="2:33" s="355" customFormat="1" ht="12" x14ac:dyDescent="0.2">
      <c r="B25" s="356" t="s">
        <v>777</v>
      </c>
      <c r="C25" s="356">
        <v>1041</v>
      </c>
      <c r="D25" s="479">
        <v>162</v>
      </c>
      <c r="E25" s="357">
        <v>6313000</v>
      </c>
      <c r="F25" s="358">
        <f t="shared" ref="F25:F42" si="9">(G25/E25)-1</f>
        <v>5.4965943291620523E-2</v>
      </c>
      <c r="G25" s="357">
        <v>6660000</v>
      </c>
      <c r="H25" s="359">
        <v>0.03</v>
      </c>
      <c r="I25" s="360">
        <f t="shared" ref="I25:I42" si="10">+(G25*H25)+G25</f>
        <v>6859800</v>
      </c>
      <c r="J25" s="359">
        <v>0.05</v>
      </c>
      <c r="K25" s="360">
        <f t="shared" ref="K25:K42" si="11">+(G25*J25)+G25</f>
        <v>6993000</v>
      </c>
      <c r="L25" s="470">
        <v>14</v>
      </c>
      <c r="M25" s="468">
        <v>54379607.466084197</v>
      </c>
      <c r="N25" s="470">
        <v>10</v>
      </c>
      <c r="O25" s="468">
        <v>39920250</v>
      </c>
      <c r="P25" s="464">
        <f>+M25+O25</f>
        <v>94299857.466084197</v>
      </c>
      <c r="Q25" s="464">
        <f>M25/(1+F25)</f>
        <v>51546315.605614044</v>
      </c>
      <c r="R25" s="464">
        <f t="shared" ref="R25:R38" si="12">($Q25*$R$9)+$Q25</f>
        <v>53907136.860351168</v>
      </c>
      <c r="S25" s="464">
        <f>M25-R25</f>
        <v>472470.60573302954</v>
      </c>
      <c r="T25" s="464">
        <f>O25/(1+F25)</f>
        <v>37840321.058558553</v>
      </c>
      <c r="U25" s="464">
        <f t="shared" ref="U25:U38" si="13">($T25*$U$9)+$T25</f>
        <v>39573407.763040535</v>
      </c>
      <c r="V25" s="464">
        <f>O25-U25</f>
        <v>346842.23695946485</v>
      </c>
      <c r="W25" s="464">
        <f t="shared" ref="W25:W38" si="14">S25+V25</f>
        <v>819312.84269249439</v>
      </c>
      <c r="Y25" s="361"/>
      <c r="AA25" s="361"/>
      <c r="AB25" s="362"/>
      <c r="AC25" s="362"/>
      <c r="AD25" s="362"/>
      <c r="AE25" s="362"/>
      <c r="AF25" s="362"/>
      <c r="AG25" s="361"/>
    </row>
    <row r="26" spans="2:33" s="355" customFormat="1" ht="12" x14ac:dyDescent="0.2">
      <c r="B26" s="356" t="s">
        <v>601</v>
      </c>
      <c r="C26" s="356">
        <v>1041</v>
      </c>
      <c r="D26" s="479"/>
      <c r="E26" s="357">
        <v>4883000</v>
      </c>
      <c r="F26" s="358">
        <f t="shared" si="9"/>
        <v>5.4884292443170279E-2</v>
      </c>
      <c r="G26" s="357">
        <v>5151000</v>
      </c>
      <c r="H26" s="359">
        <v>0.03</v>
      </c>
      <c r="I26" s="360">
        <f t="shared" si="10"/>
        <v>5305530</v>
      </c>
      <c r="J26" s="359">
        <v>0.05</v>
      </c>
      <c r="K26" s="360">
        <f t="shared" si="11"/>
        <v>5408550</v>
      </c>
      <c r="L26" s="471"/>
      <c r="M26" s="469"/>
      <c r="N26" s="471"/>
      <c r="O26" s="469"/>
      <c r="P26" s="467"/>
      <c r="Q26" s="467"/>
      <c r="R26" s="467"/>
      <c r="S26" s="467"/>
      <c r="T26" s="467"/>
      <c r="U26" s="467"/>
      <c r="V26" s="467"/>
      <c r="W26" s="467"/>
      <c r="Y26" s="361"/>
      <c r="AA26" s="361"/>
      <c r="AB26" s="362"/>
      <c r="AC26" s="362"/>
      <c r="AD26" s="362"/>
      <c r="AE26" s="362"/>
      <c r="AF26" s="362"/>
      <c r="AG26" s="361"/>
    </row>
    <row r="27" spans="2:33" s="355" customFormat="1" ht="12" x14ac:dyDescent="0.2">
      <c r="B27" s="356" t="s">
        <v>778</v>
      </c>
      <c r="C27" s="356">
        <v>1041</v>
      </c>
      <c r="D27" s="479">
        <v>160</v>
      </c>
      <c r="E27" s="357">
        <v>6313000</v>
      </c>
      <c r="F27" s="358">
        <f t="shared" si="9"/>
        <v>5.4965943291620523E-2</v>
      </c>
      <c r="G27" s="357">
        <v>6660000</v>
      </c>
      <c r="H27" s="359">
        <v>0.03</v>
      </c>
      <c r="I27" s="360">
        <f t="shared" si="10"/>
        <v>6859800</v>
      </c>
      <c r="J27" s="359">
        <v>0.05</v>
      </c>
      <c r="K27" s="360">
        <f t="shared" si="11"/>
        <v>6993000</v>
      </c>
      <c r="L27" s="470">
        <v>53</v>
      </c>
      <c r="M27" s="468">
        <v>271152983.41350877</v>
      </c>
      <c r="N27" s="470">
        <v>42</v>
      </c>
      <c r="O27" s="468">
        <v>198135000</v>
      </c>
      <c r="P27" s="464">
        <f>+M27+O27</f>
        <v>469287983.41350877</v>
      </c>
      <c r="Q27" s="464">
        <f>M27/(1+F27)</f>
        <v>257025342.98640853</v>
      </c>
      <c r="R27" s="464">
        <f t="shared" si="12"/>
        <v>268797103.69518602</v>
      </c>
      <c r="S27" s="464">
        <f>M27-R27</f>
        <v>2355879.7183227539</v>
      </c>
      <c r="T27" s="464">
        <f>O27/(1+F27)</f>
        <v>187811750</v>
      </c>
      <c r="U27" s="464">
        <f t="shared" si="13"/>
        <v>196413528.15000001</v>
      </c>
      <c r="V27" s="464">
        <f>O27-U27</f>
        <v>1721471.849999994</v>
      </c>
      <c r="W27" s="464">
        <f t="shared" si="14"/>
        <v>4077351.5683227479</v>
      </c>
      <c r="Y27" s="361"/>
      <c r="AA27" s="361"/>
      <c r="AB27" s="362"/>
      <c r="AC27" s="362"/>
      <c r="AD27" s="362"/>
      <c r="AE27" s="362"/>
      <c r="AF27" s="362"/>
      <c r="AG27" s="361"/>
    </row>
    <row r="28" spans="2:33" s="355" customFormat="1" ht="12" x14ac:dyDescent="0.2">
      <c r="B28" s="356" t="s">
        <v>603</v>
      </c>
      <c r="C28" s="356">
        <v>1041</v>
      </c>
      <c r="D28" s="479"/>
      <c r="E28" s="357">
        <v>5093000</v>
      </c>
      <c r="F28" s="358">
        <f t="shared" si="9"/>
        <v>5.4977419988219145E-2</v>
      </c>
      <c r="G28" s="357">
        <v>5373000</v>
      </c>
      <c r="H28" s="359">
        <v>0.03</v>
      </c>
      <c r="I28" s="360">
        <f t="shared" si="10"/>
        <v>5534190</v>
      </c>
      <c r="J28" s="359">
        <v>0.05</v>
      </c>
      <c r="K28" s="360">
        <f t="shared" si="11"/>
        <v>5641650</v>
      </c>
      <c r="L28" s="471"/>
      <c r="M28" s="469"/>
      <c r="N28" s="471"/>
      <c r="O28" s="469"/>
      <c r="P28" s="467"/>
      <c r="Q28" s="467"/>
      <c r="R28" s="467"/>
      <c r="S28" s="467"/>
      <c r="T28" s="467"/>
      <c r="U28" s="467"/>
      <c r="V28" s="467"/>
      <c r="W28" s="467"/>
      <c r="Y28" s="361"/>
      <c r="AA28" s="361"/>
      <c r="AB28" s="362"/>
      <c r="AC28" s="362"/>
      <c r="AD28" s="362"/>
      <c r="AE28" s="362"/>
      <c r="AF28" s="362"/>
      <c r="AG28" s="361"/>
    </row>
    <row r="29" spans="2:33" s="355" customFormat="1" ht="12" x14ac:dyDescent="0.2">
      <c r="B29" s="356" t="s">
        <v>779</v>
      </c>
      <c r="C29" s="356">
        <v>1040</v>
      </c>
      <c r="D29" s="479">
        <v>144</v>
      </c>
      <c r="E29" s="357">
        <v>9056000</v>
      </c>
      <c r="F29" s="358">
        <f t="shared" si="9"/>
        <v>5.4991166077738463E-2</v>
      </c>
      <c r="G29" s="357">
        <v>9554000</v>
      </c>
      <c r="H29" s="359">
        <v>0.03</v>
      </c>
      <c r="I29" s="360">
        <f t="shared" si="10"/>
        <v>9840620</v>
      </c>
      <c r="J29" s="359">
        <v>0.05</v>
      </c>
      <c r="K29" s="360">
        <f t="shared" si="11"/>
        <v>10031700</v>
      </c>
      <c r="L29" s="470">
        <v>404</v>
      </c>
      <c r="M29" s="468">
        <v>3459578647.9520893</v>
      </c>
      <c r="N29" s="470">
        <v>403</v>
      </c>
      <c r="O29" s="468">
        <v>3447553072.8189006</v>
      </c>
      <c r="P29" s="464">
        <f>+M29+O29</f>
        <v>6907131720.7709904</v>
      </c>
      <c r="Q29" s="464">
        <f>M29/(1+F29)</f>
        <v>3279248925.6703081</v>
      </c>
      <c r="R29" s="464">
        <f t="shared" si="12"/>
        <v>3429438526.4660082</v>
      </c>
      <c r="S29" s="464">
        <f>M29-R29</f>
        <v>30140121.486081123</v>
      </c>
      <c r="T29" s="464">
        <f>O29/(1+F29)</f>
        <v>3267850180.8088722</v>
      </c>
      <c r="U29" s="464">
        <f t="shared" si="13"/>
        <v>3417517719.0899186</v>
      </c>
      <c r="V29" s="464">
        <f>O29-U29</f>
        <v>30035353.728981972</v>
      </c>
      <c r="W29" s="464">
        <f t="shared" si="14"/>
        <v>60175475.215063095</v>
      </c>
      <c r="Y29" s="361"/>
      <c r="AA29" s="361"/>
      <c r="AB29" s="362"/>
      <c r="AC29" s="362"/>
      <c r="AD29" s="362"/>
      <c r="AE29" s="362"/>
      <c r="AF29" s="362"/>
      <c r="AG29" s="361"/>
    </row>
    <row r="30" spans="2:33" s="355" customFormat="1" ht="12" x14ac:dyDescent="0.2">
      <c r="B30" s="356" t="s">
        <v>605</v>
      </c>
      <c r="C30" s="356">
        <v>1040</v>
      </c>
      <c r="D30" s="479"/>
      <c r="E30" s="357">
        <v>8659000</v>
      </c>
      <c r="F30" s="358">
        <f t="shared" si="9"/>
        <v>5.4971705739692789E-2</v>
      </c>
      <c r="G30" s="357">
        <v>9135000</v>
      </c>
      <c r="H30" s="359">
        <v>0.03</v>
      </c>
      <c r="I30" s="360">
        <f t="shared" si="10"/>
        <v>9409050</v>
      </c>
      <c r="J30" s="359">
        <v>0.05</v>
      </c>
      <c r="K30" s="360">
        <f t="shared" si="11"/>
        <v>9591750</v>
      </c>
      <c r="L30" s="480"/>
      <c r="M30" s="472"/>
      <c r="N30" s="480"/>
      <c r="O30" s="472"/>
      <c r="P30" s="465"/>
      <c r="Q30" s="465"/>
      <c r="R30" s="465"/>
      <c r="S30" s="465"/>
      <c r="T30" s="465"/>
      <c r="U30" s="465"/>
      <c r="V30" s="465"/>
      <c r="W30" s="465"/>
      <c r="Y30" s="361"/>
      <c r="AA30" s="361"/>
      <c r="AB30" s="362"/>
      <c r="AC30" s="362"/>
      <c r="AD30" s="362"/>
      <c r="AE30" s="362"/>
      <c r="AF30" s="362"/>
      <c r="AG30" s="361"/>
    </row>
    <row r="31" spans="2:33" s="355" customFormat="1" ht="12" x14ac:dyDescent="0.2">
      <c r="B31" s="356" t="s">
        <v>606</v>
      </c>
      <c r="C31" s="356">
        <v>1040</v>
      </c>
      <c r="D31" s="479"/>
      <c r="E31" s="357">
        <v>8252000</v>
      </c>
      <c r="F31" s="358">
        <f t="shared" si="9"/>
        <v>5.4895782840523433E-2</v>
      </c>
      <c r="G31" s="357">
        <v>8705000</v>
      </c>
      <c r="H31" s="359">
        <v>0.03</v>
      </c>
      <c r="I31" s="360">
        <f t="shared" si="10"/>
        <v>8966150</v>
      </c>
      <c r="J31" s="359">
        <v>0.05</v>
      </c>
      <c r="K31" s="360">
        <f t="shared" si="11"/>
        <v>9140250</v>
      </c>
      <c r="L31" s="471"/>
      <c r="M31" s="469"/>
      <c r="N31" s="471"/>
      <c r="O31" s="469"/>
      <c r="P31" s="467"/>
      <c r="Q31" s="467"/>
      <c r="R31" s="467"/>
      <c r="S31" s="467"/>
      <c r="T31" s="467"/>
      <c r="U31" s="467"/>
      <c r="V31" s="467"/>
      <c r="W31" s="467"/>
      <c r="Y31" s="361"/>
      <c r="AA31" s="361"/>
      <c r="AB31" s="362"/>
      <c r="AC31" s="362"/>
      <c r="AD31" s="362"/>
      <c r="AE31" s="362"/>
      <c r="AF31" s="362"/>
      <c r="AG31" s="361"/>
    </row>
    <row r="32" spans="2:33" s="355" customFormat="1" ht="12" x14ac:dyDescent="0.2">
      <c r="B32" s="356" t="s">
        <v>781</v>
      </c>
      <c r="C32" s="356">
        <v>1040</v>
      </c>
      <c r="D32" s="481">
        <v>144</v>
      </c>
      <c r="E32" s="357">
        <v>6941000</v>
      </c>
      <c r="F32" s="358">
        <f t="shared" si="9"/>
        <v>5.4891226048119801E-2</v>
      </c>
      <c r="G32" s="357">
        <v>7322000</v>
      </c>
      <c r="H32" s="359">
        <v>0.03</v>
      </c>
      <c r="I32" s="360">
        <f t="shared" ref="I32:I34" si="15">+(G32*H32)+G32</f>
        <v>7541660</v>
      </c>
      <c r="J32" s="359">
        <v>0.05</v>
      </c>
      <c r="K32" s="360">
        <f t="shared" ref="K32:K34" si="16">+(G32*J32)+G32</f>
        <v>7688100</v>
      </c>
      <c r="L32" s="470">
        <v>167</v>
      </c>
      <c r="M32" s="468">
        <v>1075969844.0413969</v>
      </c>
      <c r="N32" s="470">
        <v>139</v>
      </c>
      <c r="O32" s="468">
        <v>890195363.20963085</v>
      </c>
      <c r="P32" s="464">
        <f>+M32+O32</f>
        <v>1966165207.2510276</v>
      </c>
      <c r="Q32" s="464">
        <f>M32/(1+F32)</f>
        <v>1019981792.8832746</v>
      </c>
      <c r="R32" s="464">
        <f t="shared" si="12"/>
        <v>1066696958.9973285</v>
      </c>
      <c r="S32" s="464">
        <f>M32-R32</f>
        <v>9272885.0440683365</v>
      </c>
      <c r="T32" s="464">
        <f>O32/(1+F32)</f>
        <v>843874080.31112373</v>
      </c>
      <c r="U32" s="464">
        <f t="shared" si="13"/>
        <v>882523513.18937325</v>
      </c>
      <c r="V32" s="464">
        <f>O32-U32</f>
        <v>7671850.0202575922</v>
      </c>
      <c r="W32" s="464">
        <f t="shared" ref="W32" si="17">S32+V32</f>
        <v>16944735.064325929</v>
      </c>
      <c r="Y32" s="361"/>
      <c r="AA32" s="361"/>
      <c r="AB32" s="362"/>
      <c r="AC32" s="362"/>
      <c r="AD32" s="362"/>
      <c r="AE32" s="362"/>
      <c r="AF32" s="362"/>
      <c r="AG32" s="361"/>
    </row>
    <row r="33" spans="2:33" s="355" customFormat="1" ht="12" x14ac:dyDescent="0.2">
      <c r="B33" s="356" t="s">
        <v>611</v>
      </c>
      <c r="C33" s="356">
        <v>1040</v>
      </c>
      <c r="D33" s="481"/>
      <c r="E33" s="357">
        <v>6636000</v>
      </c>
      <c r="F33" s="358">
        <f t="shared" si="9"/>
        <v>5.4852320675105481E-2</v>
      </c>
      <c r="G33" s="357">
        <v>7000000</v>
      </c>
      <c r="H33" s="359">
        <v>0.03</v>
      </c>
      <c r="I33" s="360">
        <f t="shared" si="15"/>
        <v>7210000</v>
      </c>
      <c r="J33" s="359">
        <v>0.05</v>
      </c>
      <c r="K33" s="360">
        <f t="shared" si="16"/>
        <v>7350000</v>
      </c>
      <c r="L33" s="480"/>
      <c r="M33" s="472"/>
      <c r="N33" s="480"/>
      <c r="O33" s="472"/>
      <c r="P33" s="465"/>
      <c r="Q33" s="465"/>
      <c r="R33" s="465"/>
      <c r="S33" s="465"/>
      <c r="T33" s="465"/>
      <c r="U33" s="465"/>
      <c r="V33" s="465"/>
      <c r="W33" s="465"/>
      <c r="Y33" s="361"/>
      <c r="AA33" s="361"/>
      <c r="AB33" s="362"/>
      <c r="AC33" s="362"/>
      <c r="AD33" s="362"/>
      <c r="AE33" s="362"/>
      <c r="AF33" s="362"/>
      <c r="AG33" s="361"/>
    </row>
    <row r="34" spans="2:33" s="355" customFormat="1" ht="12" x14ac:dyDescent="0.2">
      <c r="B34" s="356" t="s">
        <v>612</v>
      </c>
      <c r="C34" s="356">
        <v>1040</v>
      </c>
      <c r="D34" s="481"/>
      <c r="E34" s="357">
        <v>6265000</v>
      </c>
      <c r="F34" s="358">
        <f t="shared" si="9"/>
        <v>5.4908220271348673E-2</v>
      </c>
      <c r="G34" s="357">
        <v>6609000</v>
      </c>
      <c r="H34" s="359">
        <v>0.03</v>
      </c>
      <c r="I34" s="360">
        <f t="shared" si="15"/>
        <v>6807270</v>
      </c>
      <c r="J34" s="359">
        <v>0.05</v>
      </c>
      <c r="K34" s="360">
        <f t="shared" si="16"/>
        <v>6939450</v>
      </c>
      <c r="L34" s="471"/>
      <c r="M34" s="469"/>
      <c r="N34" s="471"/>
      <c r="O34" s="469"/>
      <c r="P34" s="467"/>
      <c r="Q34" s="467"/>
      <c r="R34" s="467"/>
      <c r="S34" s="467"/>
      <c r="T34" s="467"/>
      <c r="U34" s="467"/>
      <c r="V34" s="467"/>
      <c r="W34" s="467"/>
      <c r="Y34" s="361"/>
      <c r="AA34" s="361"/>
      <c r="AB34" s="362"/>
      <c r="AC34" s="362"/>
      <c r="AD34" s="362"/>
      <c r="AE34" s="362"/>
      <c r="AF34" s="362"/>
      <c r="AG34" s="361"/>
    </row>
    <row r="35" spans="2:33" s="355" customFormat="1" ht="12" x14ac:dyDescent="0.2">
      <c r="B35" s="356" t="s">
        <v>780</v>
      </c>
      <c r="C35" s="356">
        <v>10233</v>
      </c>
      <c r="D35" s="481">
        <v>144</v>
      </c>
      <c r="E35" s="357">
        <v>9056000</v>
      </c>
      <c r="F35" s="358">
        <f t="shared" si="9"/>
        <v>3.4673144876325113E-2</v>
      </c>
      <c r="G35" s="357">
        <v>9370000</v>
      </c>
      <c r="H35" s="359">
        <v>0.03</v>
      </c>
      <c r="I35" s="360">
        <f>+(G35*H35)+G35</f>
        <v>9651100</v>
      </c>
      <c r="J35" s="359">
        <v>0.05</v>
      </c>
      <c r="K35" s="360">
        <f>+(G35*J35)+G35</f>
        <v>9838500</v>
      </c>
      <c r="L35" s="470">
        <v>122</v>
      </c>
      <c r="M35" s="468">
        <v>932957931.91734242</v>
      </c>
      <c r="N35" s="470">
        <v>118</v>
      </c>
      <c r="O35" s="468">
        <v>898854316.42998469</v>
      </c>
      <c r="P35" s="464">
        <f>+M35+O35</f>
        <v>1831812248.3473272</v>
      </c>
      <c r="Q35" s="464">
        <f>M35/(1+F35)</f>
        <v>901693386.49343145</v>
      </c>
      <c r="R35" s="464">
        <f t="shared" si="12"/>
        <v>942990943.59483063</v>
      </c>
      <c r="S35" s="464">
        <f>M35-R35</f>
        <v>-10033011.677488208</v>
      </c>
      <c r="T35" s="464">
        <f>O35/(1+F35)</f>
        <v>868732624.28921461</v>
      </c>
      <c r="U35" s="464">
        <f t="shared" si="13"/>
        <v>908520578.4816606</v>
      </c>
      <c r="V35" s="464">
        <f>O35-U35</f>
        <v>-9666262.0516759157</v>
      </c>
      <c r="W35" s="464">
        <f t="shared" si="14"/>
        <v>-19699273.729164124</v>
      </c>
      <c r="Y35" s="361"/>
      <c r="AA35" s="361"/>
      <c r="AB35" s="362"/>
      <c r="AC35" s="362"/>
      <c r="AD35" s="362"/>
      <c r="AE35" s="362"/>
      <c r="AF35" s="362"/>
      <c r="AG35" s="361"/>
    </row>
    <row r="36" spans="2:33" s="355" customFormat="1" ht="12" x14ac:dyDescent="0.2">
      <c r="B36" s="356" t="s">
        <v>608</v>
      </c>
      <c r="C36" s="356">
        <v>10233</v>
      </c>
      <c r="D36" s="481"/>
      <c r="E36" s="357">
        <v>8607000</v>
      </c>
      <c r="F36" s="358">
        <f t="shared" si="9"/>
        <v>3.4622981294295307E-2</v>
      </c>
      <c r="G36" s="357">
        <v>8905000</v>
      </c>
      <c r="H36" s="359">
        <v>0.03</v>
      </c>
      <c r="I36" s="360">
        <f>+(G36*H36)+G36</f>
        <v>9172150</v>
      </c>
      <c r="J36" s="359">
        <v>0.05</v>
      </c>
      <c r="K36" s="360">
        <f>+(G36*J36)+G36</f>
        <v>9350250</v>
      </c>
      <c r="L36" s="480"/>
      <c r="M36" s="472"/>
      <c r="N36" s="480"/>
      <c r="O36" s="472"/>
      <c r="P36" s="465"/>
      <c r="Q36" s="465"/>
      <c r="R36" s="465"/>
      <c r="S36" s="465"/>
      <c r="T36" s="465"/>
      <c r="U36" s="465"/>
      <c r="V36" s="465"/>
      <c r="W36" s="465"/>
      <c r="Y36" s="361"/>
      <c r="AA36" s="361"/>
      <c r="AB36" s="362"/>
      <c r="AC36" s="362"/>
      <c r="AD36" s="362"/>
      <c r="AE36" s="362"/>
      <c r="AF36" s="362"/>
      <c r="AG36" s="361"/>
    </row>
    <row r="37" spans="2:33" s="355" customFormat="1" ht="12" x14ac:dyDescent="0.2">
      <c r="B37" s="356" t="s">
        <v>609</v>
      </c>
      <c r="C37" s="356">
        <v>10233</v>
      </c>
      <c r="D37" s="481"/>
      <c r="E37" s="357">
        <v>8203000</v>
      </c>
      <c r="F37" s="358">
        <f t="shared" si="9"/>
        <v>3.4621479946361111E-2</v>
      </c>
      <c r="G37" s="357">
        <v>8487000</v>
      </c>
      <c r="H37" s="359">
        <v>0.03</v>
      </c>
      <c r="I37" s="360">
        <f>+(G37*H37)+G37</f>
        <v>8741610</v>
      </c>
      <c r="J37" s="359">
        <v>0.05</v>
      </c>
      <c r="K37" s="360">
        <f>+(G37*J37)+G37</f>
        <v>8911350</v>
      </c>
      <c r="L37" s="471"/>
      <c r="M37" s="469"/>
      <c r="N37" s="471"/>
      <c r="O37" s="469"/>
      <c r="P37" s="467"/>
      <c r="Q37" s="467"/>
      <c r="R37" s="467"/>
      <c r="S37" s="467"/>
      <c r="T37" s="467"/>
      <c r="U37" s="467"/>
      <c r="V37" s="467"/>
      <c r="W37" s="467"/>
      <c r="Y37" s="361"/>
      <c r="AA37" s="361"/>
      <c r="AB37" s="362"/>
      <c r="AC37" s="362"/>
      <c r="AD37" s="362"/>
      <c r="AE37" s="362"/>
      <c r="AF37" s="362"/>
      <c r="AG37" s="361"/>
    </row>
    <row r="38" spans="2:33" s="355" customFormat="1" ht="12" x14ac:dyDescent="0.2">
      <c r="B38" s="356" t="s">
        <v>782</v>
      </c>
      <c r="C38" s="356">
        <v>101827</v>
      </c>
      <c r="D38" s="479">
        <v>144</v>
      </c>
      <c r="E38" s="357">
        <v>10604000</v>
      </c>
      <c r="F38" s="358">
        <f t="shared" si="9"/>
        <v>5.4979253112033222E-2</v>
      </c>
      <c r="G38" s="357">
        <v>11187000</v>
      </c>
      <c r="H38" s="359">
        <v>0.03</v>
      </c>
      <c r="I38" s="360">
        <f t="shared" si="10"/>
        <v>11522610</v>
      </c>
      <c r="J38" s="359">
        <v>0.05</v>
      </c>
      <c r="K38" s="360">
        <f t="shared" si="11"/>
        <v>11746350</v>
      </c>
      <c r="L38" s="470">
        <v>490</v>
      </c>
      <c r="M38" s="468">
        <v>4983130469.4475965</v>
      </c>
      <c r="N38" s="470">
        <v>473</v>
      </c>
      <c r="O38" s="468">
        <v>4777108449.7757263</v>
      </c>
      <c r="P38" s="464">
        <f>+M38+O38</f>
        <v>9760238919.2233238</v>
      </c>
      <c r="Q38" s="464">
        <f>M38/(1+F38)</f>
        <v>4723439304.3731394</v>
      </c>
      <c r="R38" s="464">
        <f t="shared" si="12"/>
        <v>4939772824.5134296</v>
      </c>
      <c r="S38" s="464">
        <f>M38-R38</f>
        <v>43357644.934166908</v>
      </c>
      <c r="T38" s="464">
        <f>O38/(1+F38)</f>
        <v>4528153928.7942972</v>
      </c>
      <c r="U38" s="464">
        <f t="shared" si="13"/>
        <v>4735543378.7330761</v>
      </c>
      <c r="V38" s="464">
        <f>O38-U38</f>
        <v>41565071.042650223</v>
      </c>
      <c r="W38" s="464">
        <f t="shared" si="14"/>
        <v>84922715.976817131</v>
      </c>
      <c r="Y38" s="361"/>
      <c r="AA38" s="361"/>
      <c r="AB38" s="362"/>
      <c r="AC38" s="362"/>
      <c r="AD38" s="362"/>
      <c r="AE38" s="362"/>
      <c r="AF38" s="362"/>
      <c r="AG38" s="361"/>
    </row>
    <row r="39" spans="2:33" s="355" customFormat="1" ht="12" x14ac:dyDescent="0.2">
      <c r="B39" s="356" t="s">
        <v>614</v>
      </c>
      <c r="C39" s="356">
        <v>101827</v>
      </c>
      <c r="D39" s="479"/>
      <c r="E39" s="357">
        <v>9944000</v>
      </c>
      <c r="F39" s="358">
        <f t="shared" si="9"/>
        <v>5.4907481898632371E-2</v>
      </c>
      <c r="G39" s="357">
        <v>10490000</v>
      </c>
      <c r="H39" s="359">
        <v>0.03</v>
      </c>
      <c r="I39" s="360">
        <f t="shared" si="10"/>
        <v>10804700</v>
      </c>
      <c r="J39" s="359">
        <v>0.05</v>
      </c>
      <c r="K39" s="360">
        <f t="shared" si="11"/>
        <v>11014500</v>
      </c>
      <c r="L39" s="471"/>
      <c r="M39" s="469"/>
      <c r="N39" s="471"/>
      <c r="O39" s="469"/>
      <c r="P39" s="467"/>
      <c r="Q39" s="467"/>
      <c r="R39" s="467"/>
      <c r="S39" s="467"/>
      <c r="T39" s="467"/>
      <c r="U39" s="467"/>
      <c r="V39" s="467"/>
      <c r="W39" s="467"/>
      <c r="Y39" s="361"/>
      <c r="AA39" s="361"/>
      <c r="AB39" s="362"/>
      <c r="AC39" s="362"/>
      <c r="AD39" s="362"/>
      <c r="AE39" s="362"/>
      <c r="AF39" s="362"/>
      <c r="AG39" s="361"/>
    </row>
    <row r="40" spans="2:33" s="355" customFormat="1" ht="12" x14ac:dyDescent="0.2">
      <c r="B40" s="356" t="s">
        <v>719</v>
      </c>
      <c r="C40" s="356">
        <v>107941</v>
      </c>
      <c r="D40" s="363">
        <v>144</v>
      </c>
      <c r="E40" s="357">
        <v>9056000</v>
      </c>
      <c r="F40" s="358">
        <f t="shared" si="9"/>
        <v>5.4991166077738463E-2</v>
      </c>
      <c r="G40" s="357">
        <v>9554000</v>
      </c>
      <c r="H40" s="359">
        <v>0.03</v>
      </c>
      <c r="I40" s="360">
        <f t="shared" si="10"/>
        <v>9840620</v>
      </c>
      <c r="J40" s="359">
        <v>0.05</v>
      </c>
      <c r="K40" s="360">
        <f t="shared" si="11"/>
        <v>10031700</v>
      </c>
      <c r="L40" s="364">
        <v>45</v>
      </c>
      <c r="M40" s="357">
        <v>385913886.36058402</v>
      </c>
      <c r="N40" s="364">
        <v>57</v>
      </c>
      <c r="O40" s="357">
        <v>480295707.3988601</v>
      </c>
      <c r="P40" s="365">
        <f>+M40+O40</f>
        <v>866209593.75944412</v>
      </c>
      <c r="Q40" s="365">
        <f>M40/(1+F40)</f>
        <v>365798215.91809177</v>
      </c>
      <c r="R40" s="365">
        <f>($Q40*$R$9)+$Q40</f>
        <v>382551774.20714039</v>
      </c>
      <c r="S40" s="365">
        <f>M40-R40</f>
        <v>3362112.1534436345</v>
      </c>
      <c r="T40" s="365">
        <f>O40/(1+F40)</f>
        <v>455260406.76199257</v>
      </c>
      <c r="U40" s="365">
        <f t="shared" ref="U40:U42" si="18">($T40*$U$9)+$T40</f>
        <v>476111333.3916918</v>
      </c>
      <c r="V40" s="365">
        <f>O40-U40</f>
        <v>4184374.007168293</v>
      </c>
      <c r="W40" s="365">
        <f t="shared" ref="W40:W41" si="19">S40+V40</f>
        <v>7546486.1606119275</v>
      </c>
      <c r="Y40" s="361"/>
      <c r="AA40" s="361"/>
      <c r="AB40" s="362"/>
      <c r="AC40" s="362"/>
      <c r="AD40" s="362"/>
      <c r="AE40" s="362"/>
      <c r="AF40" s="362"/>
      <c r="AG40" s="361"/>
    </row>
    <row r="41" spans="2:33" s="355" customFormat="1" ht="12" x14ac:dyDescent="0.2">
      <c r="B41" s="356" t="s">
        <v>720</v>
      </c>
      <c r="C41" s="356">
        <v>108255</v>
      </c>
      <c r="D41" s="363">
        <v>146</v>
      </c>
      <c r="E41" s="357">
        <v>10604000</v>
      </c>
      <c r="F41" s="358">
        <f t="shared" si="9"/>
        <v>5.4979253112033222E-2</v>
      </c>
      <c r="G41" s="357">
        <v>11187000</v>
      </c>
      <c r="H41" s="359">
        <v>0.03</v>
      </c>
      <c r="I41" s="360">
        <f t="shared" si="10"/>
        <v>11522610</v>
      </c>
      <c r="J41" s="359">
        <v>0.05</v>
      </c>
      <c r="K41" s="360">
        <f t="shared" si="11"/>
        <v>11746350</v>
      </c>
      <c r="L41" s="364">
        <v>91</v>
      </c>
      <c r="M41" s="357">
        <v>946513378.11709404</v>
      </c>
      <c r="N41" s="364">
        <v>114</v>
      </c>
      <c r="O41" s="357">
        <v>1200531301.9681699</v>
      </c>
      <c r="P41" s="365">
        <f>+M41+O41</f>
        <v>2147044680.085264</v>
      </c>
      <c r="Q41" s="365">
        <f>M41/(1+F41)</f>
        <v>897186722.22701931</v>
      </c>
      <c r="R41" s="365">
        <f t="shared" ref="R41:R42" si="20">($Q41*$R$9)+$Q41</f>
        <v>938277874.10501683</v>
      </c>
      <c r="S41" s="365">
        <f>M41-R41</f>
        <v>8235504.0120772123</v>
      </c>
      <c r="T41" s="365">
        <f>O41/(1+F41)</f>
        <v>1137966740.5086684</v>
      </c>
      <c r="U41" s="365">
        <f t="shared" si="18"/>
        <v>1190085617.2239654</v>
      </c>
      <c r="V41" s="365">
        <f>O41-U41</f>
        <v>10445684.744204521</v>
      </c>
      <c r="W41" s="365">
        <f t="shared" si="19"/>
        <v>18681188.756281734</v>
      </c>
      <c r="Y41" s="361"/>
      <c r="AA41" s="361"/>
      <c r="AB41" s="362"/>
      <c r="AC41" s="362"/>
      <c r="AD41" s="362"/>
      <c r="AE41" s="362"/>
      <c r="AF41" s="362"/>
      <c r="AG41" s="361"/>
    </row>
    <row r="42" spans="2:33" s="355" customFormat="1" ht="12" x14ac:dyDescent="0.2">
      <c r="B42" s="356" t="s">
        <v>753</v>
      </c>
      <c r="C42" s="356">
        <v>108837</v>
      </c>
      <c r="D42" s="363">
        <v>144</v>
      </c>
      <c r="E42" s="357">
        <v>8882000</v>
      </c>
      <c r="F42" s="358">
        <f t="shared" si="9"/>
        <v>5.4942580499887317E-2</v>
      </c>
      <c r="G42" s="357">
        <v>9370000</v>
      </c>
      <c r="H42" s="359">
        <v>0.03</v>
      </c>
      <c r="I42" s="360">
        <f t="shared" si="10"/>
        <v>9651100</v>
      </c>
      <c r="J42" s="359">
        <v>0.05</v>
      </c>
      <c r="K42" s="360">
        <f t="shared" si="11"/>
        <v>9838500</v>
      </c>
      <c r="L42" s="364">
        <v>12</v>
      </c>
      <c r="M42" s="357">
        <v>86471600.101324484</v>
      </c>
      <c r="N42" s="364">
        <v>25</v>
      </c>
      <c r="O42" s="357">
        <v>208169434.5916366</v>
      </c>
      <c r="P42" s="365">
        <f>+M42+O42</f>
        <v>294641034.6929611</v>
      </c>
      <c r="Q42" s="365">
        <f>M42/(1+F42)</f>
        <v>81968063.191031396</v>
      </c>
      <c r="R42" s="365">
        <f t="shared" si="20"/>
        <v>85722200.485180631</v>
      </c>
      <c r="S42" s="365">
        <f>M42-R42</f>
        <v>749399.61614385247</v>
      </c>
      <c r="T42" s="365">
        <f>O42/(1+F42)</f>
        <v>197327739.3855834</v>
      </c>
      <c r="U42" s="365">
        <f t="shared" si="18"/>
        <v>206365349.84944311</v>
      </c>
      <c r="V42" s="365">
        <f>O42-U42</f>
        <v>1804084.7421934903</v>
      </c>
      <c r="W42" s="365">
        <f t="shared" ref="W42" si="21">S42+V42</f>
        <v>2553484.3583373427</v>
      </c>
      <c r="Y42" s="361"/>
      <c r="AA42" s="361"/>
      <c r="AB42" s="362"/>
      <c r="AC42" s="362"/>
      <c r="AD42" s="362"/>
      <c r="AE42" s="362"/>
      <c r="AF42" s="362"/>
      <c r="AG42" s="361"/>
    </row>
    <row r="43" spans="2:33" s="349" customFormat="1" ht="12.75" x14ac:dyDescent="0.2">
      <c r="B43" s="350" t="s">
        <v>448</v>
      </c>
      <c r="C43" s="350"/>
      <c r="D43" s="351"/>
      <c r="E43" s="366"/>
      <c r="F43" s="373"/>
      <c r="G43" s="352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Y43" s="371"/>
      <c r="AA43" s="371"/>
      <c r="AB43" s="372"/>
      <c r="AC43" s="372"/>
      <c r="AD43" s="372"/>
      <c r="AE43" s="372"/>
      <c r="AF43" s="372"/>
      <c r="AG43" s="371"/>
    </row>
    <row r="44" spans="2:33" s="355" customFormat="1" ht="12" x14ac:dyDescent="0.2">
      <c r="B44" s="356" t="s">
        <v>783</v>
      </c>
      <c r="C44" s="356">
        <v>1039</v>
      </c>
      <c r="D44" s="479">
        <v>171</v>
      </c>
      <c r="E44" s="357">
        <v>7976000</v>
      </c>
      <c r="F44" s="358">
        <f t="shared" ref="F44:F51" si="22">(G44/E44)-1</f>
        <v>5.4914744232698043E-2</v>
      </c>
      <c r="G44" s="357">
        <v>8414000</v>
      </c>
      <c r="H44" s="359">
        <v>0.03</v>
      </c>
      <c r="I44" s="360">
        <f t="shared" ref="I44:I56" si="23">+(G44*H44)+G44</f>
        <v>8666420</v>
      </c>
      <c r="J44" s="359">
        <v>0.05</v>
      </c>
      <c r="K44" s="360">
        <f t="shared" ref="K44:K56" si="24">+(G44*J44)+G44</f>
        <v>8834700</v>
      </c>
      <c r="L44" s="470">
        <v>371</v>
      </c>
      <c r="M44" s="468">
        <v>2595482206.799562</v>
      </c>
      <c r="N44" s="470">
        <v>362</v>
      </c>
      <c r="O44" s="468">
        <v>2509900511.3497849</v>
      </c>
      <c r="P44" s="464">
        <f>+M44+O44</f>
        <v>5105382718.1493473</v>
      </c>
      <c r="Q44" s="464">
        <f>M44/(1+F44)</f>
        <v>2460371533.3293686</v>
      </c>
      <c r="R44" s="464">
        <f t="shared" ref="R44:R49" si="25">($Q44*$R$9)+$Q44</f>
        <v>2573056549.5558538</v>
      </c>
      <c r="S44" s="464">
        <f>M44-R44</f>
        <v>22425657.243708134</v>
      </c>
      <c r="T44" s="464">
        <f>O44/(1+F44)</f>
        <v>2379244886.9177423</v>
      </c>
      <c r="U44" s="464">
        <f t="shared" ref="U44:U51" si="26">($T44*$U$9)+$T44</f>
        <v>2488214302.738575</v>
      </c>
      <c r="V44" s="464">
        <f>O44-U44</f>
        <v>21686208.611209869</v>
      </c>
      <c r="W44" s="464">
        <f t="shared" ref="W44:W51" si="27">S44+V44</f>
        <v>44111865.854918003</v>
      </c>
      <c r="Y44" s="361"/>
      <c r="AA44" s="361"/>
      <c r="AB44" s="362"/>
      <c r="AC44" s="362"/>
      <c r="AD44" s="362"/>
      <c r="AE44" s="362"/>
      <c r="AF44" s="362"/>
      <c r="AG44" s="361"/>
    </row>
    <row r="45" spans="2:33" s="355" customFormat="1" ht="12" x14ac:dyDescent="0.2">
      <c r="B45" s="356" t="s">
        <v>616</v>
      </c>
      <c r="C45" s="356">
        <v>1039</v>
      </c>
      <c r="D45" s="479"/>
      <c r="E45" s="357">
        <v>7560000</v>
      </c>
      <c r="F45" s="358">
        <f t="shared" si="22"/>
        <v>5.4894179894179995E-2</v>
      </c>
      <c r="G45" s="357">
        <v>7975000</v>
      </c>
      <c r="H45" s="359">
        <v>0.03</v>
      </c>
      <c r="I45" s="360">
        <f t="shared" si="23"/>
        <v>8214250</v>
      </c>
      <c r="J45" s="359">
        <v>0.05</v>
      </c>
      <c r="K45" s="360">
        <f t="shared" si="24"/>
        <v>8373750</v>
      </c>
      <c r="L45" s="471"/>
      <c r="M45" s="469"/>
      <c r="N45" s="471"/>
      <c r="O45" s="469"/>
      <c r="P45" s="467"/>
      <c r="Q45" s="467"/>
      <c r="R45" s="467"/>
      <c r="S45" s="467"/>
      <c r="T45" s="467"/>
      <c r="U45" s="467"/>
      <c r="V45" s="467"/>
      <c r="W45" s="467"/>
      <c r="Y45" s="361"/>
      <c r="AA45" s="361"/>
      <c r="AB45" s="362"/>
      <c r="AC45" s="362"/>
      <c r="AD45" s="362"/>
      <c r="AE45" s="362"/>
      <c r="AF45" s="362"/>
      <c r="AG45" s="361"/>
    </row>
    <row r="46" spans="2:33" s="355" customFormat="1" ht="12" x14ac:dyDescent="0.2">
      <c r="B46" s="356" t="s">
        <v>784</v>
      </c>
      <c r="C46" s="356">
        <v>10213</v>
      </c>
      <c r="D46" s="481">
        <v>192</v>
      </c>
      <c r="E46" s="357">
        <v>9246000</v>
      </c>
      <c r="F46" s="358">
        <f t="shared" si="22"/>
        <v>5.4942677914773919E-2</v>
      </c>
      <c r="G46" s="357">
        <v>9754000</v>
      </c>
      <c r="H46" s="359">
        <v>0.03</v>
      </c>
      <c r="I46" s="360">
        <f t="shared" si="23"/>
        <v>10046620</v>
      </c>
      <c r="J46" s="359">
        <v>0.05</v>
      </c>
      <c r="K46" s="360">
        <f t="shared" si="24"/>
        <v>10241700</v>
      </c>
      <c r="L46" s="470">
        <v>570</v>
      </c>
      <c r="M46" s="468">
        <v>4769795863.6058397</v>
      </c>
      <c r="N46" s="470">
        <v>584</v>
      </c>
      <c r="O46" s="468">
        <v>4883518805.4914513</v>
      </c>
      <c r="P46" s="464">
        <f>+M46+O46</f>
        <v>9653314669.09729</v>
      </c>
      <c r="Q46" s="464">
        <f>M46/(1+F46)</f>
        <v>4521379183.4016399</v>
      </c>
      <c r="R46" s="464">
        <f t="shared" si="25"/>
        <v>4728458350.0014353</v>
      </c>
      <c r="S46" s="464">
        <f>M46-R46</f>
        <v>41337513.604404449</v>
      </c>
      <c r="T46" s="464">
        <f>O46/(1+F46)</f>
        <v>4629179298.2954645</v>
      </c>
      <c r="U46" s="464">
        <f>($T46*$U$9)+$T46</f>
        <v>4841195710.1573963</v>
      </c>
      <c r="V46" s="464">
        <f>O46-U46</f>
        <v>42323095.334054947</v>
      </c>
      <c r="W46" s="464">
        <f t="shared" si="27"/>
        <v>83660608.938459396</v>
      </c>
      <c r="Y46" s="361"/>
      <c r="AA46" s="361"/>
      <c r="AB46" s="362"/>
      <c r="AC46" s="362"/>
      <c r="AD46" s="362"/>
      <c r="AE46" s="362"/>
      <c r="AF46" s="362"/>
      <c r="AG46" s="361"/>
    </row>
    <row r="47" spans="2:33" s="355" customFormat="1" ht="12" x14ac:dyDescent="0.2">
      <c r="B47" s="356" t="s">
        <v>618</v>
      </c>
      <c r="C47" s="356">
        <v>10213</v>
      </c>
      <c r="D47" s="481"/>
      <c r="E47" s="357">
        <v>8763000</v>
      </c>
      <c r="F47" s="358">
        <f t="shared" si="22"/>
        <v>5.4889877895697881E-2</v>
      </c>
      <c r="G47" s="357">
        <v>9244000</v>
      </c>
      <c r="H47" s="359">
        <v>0.03</v>
      </c>
      <c r="I47" s="360">
        <f t="shared" si="23"/>
        <v>9521320</v>
      </c>
      <c r="J47" s="359">
        <v>0.05</v>
      </c>
      <c r="K47" s="360">
        <f t="shared" si="24"/>
        <v>9706200</v>
      </c>
      <c r="L47" s="480"/>
      <c r="M47" s="472"/>
      <c r="N47" s="480"/>
      <c r="O47" s="472"/>
      <c r="P47" s="465"/>
      <c r="Q47" s="465"/>
      <c r="R47" s="465"/>
      <c r="S47" s="465"/>
      <c r="T47" s="465"/>
      <c r="U47" s="465"/>
      <c r="V47" s="465"/>
      <c r="W47" s="465"/>
      <c r="Y47" s="361"/>
      <c r="AA47" s="361"/>
      <c r="AB47" s="362"/>
      <c r="AC47" s="362"/>
      <c r="AD47" s="362"/>
      <c r="AE47" s="362"/>
      <c r="AF47" s="362"/>
      <c r="AG47" s="361"/>
    </row>
    <row r="48" spans="2:33" s="355" customFormat="1" ht="12" x14ac:dyDescent="0.2">
      <c r="B48" s="356" t="s">
        <v>619</v>
      </c>
      <c r="C48" s="356">
        <v>10213</v>
      </c>
      <c r="D48" s="481"/>
      <c r="E48" s="357">
        <v>7705000</v>
      </c>
      <c r="F48" s="358">
        <f t="shared" si="22"/>
        <v>5.4899415963659992E-2</v>
      </c>
      <c r="G48" s="357">
        <v>8128000</v>
      </c>
      <c r="H48" s="359">
        <v>0.03</v>
      </c>
      <c r="I48" s="360">
        <f t="shared" si="23"/>
        <v>8371840</v>
      </c>
      <c r="J48" s="359">
        <v>0.05</v>
      </c>
      <c r="K48" s="360">
        <f t="shared" si="24"/>
        <v>8534400</v>
      </c>
      <c r="L48" s="471"/>
      <c r="M48" s="469"/>
      <c r="N48" s="471"/>
      <c r="O48" s="469"/>
      <c r="P48" s="467"/>
      <c r="Q48" s="467"/>
      <c r="R48" s="467"/>
      <c r="S48" s="467"/>
      <c r="T48" s="467"/>
      <c r="U48" s="467"/>
      <c r="V48" s="467"/>
      <c r="W48" s="467"/>
      <c r="Y48" s="361"/>
      <c r="AA48" s="361"/>
      <c r="AB48" s="362"/>
      <c r="AC48" s="362"/>
      <c r="AD48" s="362"/>
      <c r="AE48" s="362"/>
      <c r="AF48" s="362"/>
      <c r="AG48" s="361"/>
    </row>
    <row r="49" spans="2:33" s="355" customFormat="1" ht="12" x14ac:dyDescent="0.2">
      <c r="B49" s="356" t="s">
        <v>578</v>
      </c>
      <c r="C49" s="356">
        <v>11648</v>
      </c>
      <c r="D49" s="363">
        <v>162</v>
      </c>
      <c r="E49" s="357">
        <v>6997000</v>
      </c>
      <c r="F49" s="358">
        <f t="shared" si="22"/>
        <v>4.8878090610261493E-2</v>
      </c>
      <c r="G49" s="357">
        <v>7339000</v>
      </c>
      <c r="H49" s="359">
        <v>0.03</v>
      </c>
      <c r="I49" s="360">
        <f t="shared" si="23"/>
        <v>7559170</v>
      </c>
      <c r="J49" s="359">
        <v>0.05</v>
      </c>
      <c r="K49" s="360">
        <f t="shared" si="24"/>
        <v>7705950</v>
      </c>
      <c r="L49" s="364">
        <v>143</v>
      </c>
      <c r="M49" s="357">
        <v>847977559.08175194</v>
      </c>
      <c r="N49" s="364">
        <v>138</v>
      </c>
      <c r="O49" s="357">
        <v>810895741.64743531</v>
      </c>
      <c r="P49" s="365">
        <f>+M49+O49</f>
        <v>1658873300.7291873</v>
      </c>
      <c r="Q49" s="365">
        <f>M49/(1+F49)</f>
        <v>808461504.41409171</v>
      </c>
      <c r="R49" s="365">
        <f t="shared" si="25"/>
        <v>845489041.31625712</v>
      </c>
      <c r="S49" s="365">
        <f>M49-R49</f>
        <v>2488517.7654948235</v>
      </c>
      <c r="T49" s="365">
        <f>O49/(1+F49)</f>
        <v>773107712.80925262</v>
      </c>
      <c r="U49" s="365">
        <f>($T49*$U$9)+$T49</f>
        <v>808516046.05591643</v>
      </c>
      <c r="V49" s="365">
        <f>O49-U49</f>
        <v>2379695.5915188789</v>
      </c>
      <c r="W49" s="365">
        <f t="shared" si="27"/>
        <v>4868213.3570137024</v>
      </c>
      <c r="Y49" s="361"/>
      <c r="AA49" s="361"/>
      <c r="AB49" s="362"/>
      <c r="AC49" s="362"/>
      <c r="AD49" s="362"/>
      <c r="AE49" s="362"/>
      <c r="AF49" s="362"/>
      <c r="AG49" s="361"/>
    </row>
    <row r="50" spans="2:33" s="355" customFormat="1" ht="12" x14ac:dyDescent="0.2">
      <c r="B50" s="356" t="s">
        <v>579</v>
      </c>
      <c r="C50" s="356">
        <v>15808</v>
      </c>
      <c r="D50" s="363">
        <v>152</v>
      </c>
      <c r="E50" s="357">
        <v>8155000</v>
      </c>
      <c r="F50" s="358">
        <f t="shared" si="22"/>
        <v>5.4935622317596522E-2</v>
      </c>
      <c r="G50" s="357">
        <v>8603000</v>
      </c>
      <c r="H50" s="359">
        <v>0.03</v>
      </c>
      <c r="I50" s="360">
        <f t="shared" si="23"/>
        <v>8861090</v>
      </c>
      <c r="J50" s="359">
        <v>0.05</v>
      </c>
      <c r="K50" s="360">
        <f t="shared" si="24"/>
        <v>9033150</v>
      </c>
      <c r="L50" s="363">
        <v>209</v>
      </c>
      <c r="M50" s="357">
        <v>1591757645.4423361</v>
      </c>
      <c r="N50" s="363">
        <v>195</v>
      </c>
      <c r="O50" s="357">
        <v>1471015622.1965799</v>
      </c>
      <c r="P50" s="365">
        <f>+M50+O50</f>
        <v>3062773267.638916</v>
      </c>
      <c r="Q50" s="365">
        <f>M50/(1+F50)</f>
        <v>1508867092.7097816</v>
      </c>
      <c r="R50" s="365">
        <f>($Q50*$R$9)+$Q50</f>
        <v>1577973205.5558896</v>
      </c>
      <c r="S50" s="365">
        <f>M50-R50</f>
        <v>13784439.886446476</v>
      </c>
      <c r="T50" s="365">
        <f>O50/(1+F50)</f>
        <v>1394412693.1318274</v>
      </c>
      <c r="U50" s="365">
        <f t="shared" si="26"/>
        <v>1458276794.4772651</v>
      </c>
      <c r="V50" s="365">
        <f>O50-U50</f>
        <v>12738827.719314814</v>
      </c>
      <c r="W50" s="365">
        <f t="shared" si="27"/>
        <v>26523267.60576129</v>
      </c>
      <c r="Y50" s="361"/>
      <c r="AA50" s="361"/>
      <c r="AB50" s="362"/>
      <c r="AC50" s="362"/>
      <c r="AD50" s="362"/>
      <c r="AE50" s="362"/>
      <c r="AF50" s="362"/>
      <c r="AG50" s="361"/>
    </row>
    <row r="51" spans="2:33" s="355" customFormat="1" ht="12" x14ac:dyDescent="0.2">
      <c r="B51" s="356" t="s">
        <v>582</v>
      </c>
      <c r="C51" s="356">
        <v>54163</v>
      </c>
      <c r="D51" s="363">
        <v>148</v>
      </c>
      <c r="E51" s="357">
        <v>4981000</v>
      </c>
      <c r="F51" s="358">
        <f t="shared" si="22"/>
        <v>5.4808271431439515E-2</v>
      </c>
      <c r="G51" s="357">
        <v>5254000</v>
      </c>
      <c r="H51" s="359">
        <v>0.03</v>
      </c>
      <c r="I51" s="360">
        <f t="shared" si="23"/>
        <v>5411620</v>
      </c>
      <c r="J51" s="359">
        <v>0.05</v>
      </c>
      <c r="K51" s="360">
        <f t="shared" si="24"/>
        <v>5516700</v>
      </c>
      <c r="L51" s="363">
        <v>20</v>
      </c>
      <c r="M51" s="357">
        <v>83158784.226775795</v>
      </c>
      <c r="N51" s="363">
        <v>20</v>
      </c>
      <c r="O51" s="357">
        <v>76619152.660299808</v>
      </c>
      <c r="P51" s="365">
        <f>+M51+O51</f>
        <v>159777936.8870756</v>
      </c>
      <c r="Q51" s="365">
        <f>M51/(1+F51)</f>
        <v>78837819.610500619</v>
      </c>
      <c r="R51" s="365">
        <f>($Q51*$R$9)+$Q51</f>
        <v>82448591.748661548</v>
      </c>
      <c r="S51" s="365">
        <f>M51-R51</f>
        <v>710192.47811424732</v>
      </c>
      <c r="T51" s="365">
        <f>O51/(1+F51)</f>
        <v>72637989.988761574</v>
      </c>
      <c r="U51" s="365">
        <f t="shared" si="26"/>
        <v>75964809.93024686</v>
      </c>
      <c r="V51" s="365">
        <f>O51-U51</f>
        <v>654342.730052948</v>
      </c>
      <c r="W51" s="365">
        <f t="shared" si="27"/>
        <v>1364535.2081671953</v>
      </c>
      <c r="Y51" s="361"/>
      <c r="AA51" s="361"/>
      <c r="AB51" s="362"/>
      <c r="AC51" s="362"/>
      <c r="AD51" s="362"/>
      <c r="AE51" s="362"/>
      <c r="AF51" s="362"/>
      <c r="AG51" s="361"/>
    </row>
    <row r="52" spans="2:33" s="355" customFormat="1" ht="12.75" x14ac:dyDescent="0.2">
      <c r="B52" s="350" t="s">
        <v>787</v>
      </c>
      <c r="C52" s="350"/>
      <c r="D52" s="351"/>
      <c r="E52" s="366"/>
      <c r="F52" s="373"/>
      <c r="G52" s="352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Y52" s="361"/>
      <c r="AA52" s="361"/>
      <c r="AB52" s="362"/>
      <c r="AC52" s="362"/>
      <c r="AD52" s="362"/>
      <c r="AE52" s="362"/>
      <c r="AF52" s="362"/>
      <c r="AG52" s="361"/>
    </row>
    <row r="53" spans="2:33" s="355" customFormat="1" ht="12" x14ac:dyDescent="0.2">
      <c r="B53" s="356" t="s">
        <v>580</v>
      </c>
      <c r="C53" s="356">
        <v>53296</v>
      </c>
      <c r="D53" s="363">
        <v>144</v>
      </c>
      <c r="E53" s="357">
        <v>8637000</v>
      </c>
      <c r="F53" s="358">
        <f>(G53/E53)-1</f>
        <v>4.8975338659256629E-2</v>
      </c>
      <c r="G53" s="357">
        <v>9060000</v>
      </c>
      <c r="H53" s="359">
        <v>0.03</v>
      </c>
      <c r="I53" s="360">
        <f t="shared" si="23"/>
        <v>9331800</v>
      </c>
      <c r="J53" s="359">
        <v>0.05</v>
      </c>
      <c r="K53" s="360">
        <f t="shared" si="24"/>
        <v>9513000</v>
      </c>
      <c r="L53" s="363">
        <v>281</v>
      </c>
      <c r="M53" s="357">
        <v>2255288019.908298</v>
      </c>
      <c r="N53" s="363">
        <v>287</v>
      </c>
      <c r="O53" s="357">
        <v>2313998542.5719104</v>
      </c>
      <c r="P53" s="365">
        <f>+M53+O53</f>
        <v>4569286562.4802084</v>
      </c>
      <c r="Q53" s="365">
        <f>M53/(1+F53)</f>
        <v>2149991460.0384073</v>
      </c>
      <c r="R53" s="365">
        <f t="shared" ref="R53" si="28">($Q53*$R$9)+$Q53</f>
        <v>2248461068.9081664</v>
      </c>
      <c r="S53" s="365">
        <f>M53-R53</f>
        <v>6826951.0001316071</v>
      </c>
      <c r="T53" s="365">
        <f>O53/(1+F53)</f>
        <v>2205960862.2730231</v>
      </c>
      <c r="U53" s="365">
        <f t="shared" ref="U53:U54" si="29">($T53*$U$9)+$T53</f>
        <v>2306993869.7651277</v>
      </c>
      <c r="V53" s="365">
        <f>O53-U53</f>
        <v>7004672.8067827225</v>
      </c>
      <c r="W53" s="365">
        <f t="shared" ref="W53:W54" si="30">S53+V53</f>
        <v>13831623.80691433</v>
      </c>
      <c r="Y53" s="361"/>
      <c r="AA53" s="361"/>
      <c r="AB53" s="362"/>
      <c r="AC53" s="362"/>
      <c r="AD53" s="362"/>
      <c r="AE53" s="362"/>
      <c r="AF53" s="362"/>
      <c r="AG53" s="361"/>
    </row>
    <row r="54" spans="2:33" s="355" customFormat="1" ht="12" x14ac:dyDescent="0.2">
      <c r="B54" s="356" t="s">
        <v>581</v>
      </c>
      <c r="C54" s="356">
        <v>53475</v>
      </c>
      <c r="D54" s="363">
        <v>144</v>
      </c>
      <c r="E54" s="357">
        <v>7680000</v>
      </c>
      <c r="F54" s="358">
        <f>(G54/E54)-1</f>
        <v>4.8958333333333437E-2</v>
      </c>
      <c r="G54" s="357">
        <v>8056000</v>
      </c>
      <c r="H54" s="359">
        <v>0.03</v>
      </c>
      <c r="I54" s="360">
        <f t="shared" si="23"/>
        <v>8297680</v>
      </c>
      <c r="J54" s="359">
        <v>0.05</v>
      </c>
      <c r="K54" s="360">
        <f t="shared" si="24"/>
        <v>8458800</v>
      </c>
      <c r="L54" s="364">
        <v>126</v>
      </c>
      <c r="M54" s="357">
        <v>881561751.27950168</v>
      </c>
      <c r="N54" s="363">
        <v>118</v>
      </c>
      <c r="O54" s="357">
        <v>855985042.84460449</v>
      </c>
      <c r="P54" s="365">
        <f>+M54+O54</f>
        <v>1737546794.1241062</v>
      </c>
      <c r="Q54" s="365">
        <f>M54/(1+F54)</f>
        <v>840416366.66168964</v>
      </c>
      <c r="R54" s="365">
        <f>($Q54*$R$9)+$Q54</f>
        <v>878907436.25479507</v>
      </c>
      <c r="S54" s="365">
        <f>M54-R54</f>
        <v>2654315.0247066021</v>
      </c>
      <c r="T54" s="365">
        <f>O54/(1+F54)</f>
        <v>816033407.27986121</v>
      </c>
      <c r="U54" s="365">
        <f t="shared" si="29"/>
        <v>853407737.33327889</v>
      </c>
      <c r="V54" s="365">
        <f>O54-U54</f>
        <v>2577305.5113255978</v>
      </c>
      <c r="W54" s="365">
        <f t="shared" si="30"/>
        <v>5231620.5360321999</v>
      </c>
      <c r="Y54" s="361"/>
      <c r="AA54" s="361"/>
      <c r="AB54" s="362"/>
      <c r="AC54" s="362"/>
      <c r="AD54" s="362"/>
      <c r="AE54" s="362"/>
      <c r="AF54" s="362"/>
      <c r="AG54" s="361"/>
    </row>
    <row r="55" spans="2:33" s="355" customFormat="1" ht="12" x14ac:dyDescent="0.2">
      <c r="B55" s="356" t="s">
        <v>785</v>
      </c>
      <c r="C55" s="356">
        <v>90368</v>
      </c>
      <c r="D55" s="481">
        <v>162</v>
      </c>
      <c r="E55" s="357">
        <v>7892000</v>
      </c>
      <c r="F55" s="358">
        <f>(G55/E55)-1</f>
        <v>5.4992397364419743E-2</v>
      </c>
      <c r="G55" s="357">
        <v>8326000</v>
      </c>
      <c r="H55" s="359">
        <v>0.03</v>
      </c>
      <c r="I55" s="360">
        <f t="shared" si="23"/>
        <v>8575780</v>
      </c>
      <c r="J55" s="359">
        <v>0.05</v>
      </c>
      <c r="K55" s="360">
        <f t="shared" si="24"/>
        <v>8742300</v>
      </c>
      <c r="L55" s="470">
        <v>470</v>
      </c>
      <c r="M55" s="468">
        <v>3577029669.641448</v>
      </c>
      <c r="N55" s="470">
        <v>485</v>
      </c>
      <c r="O55" s="468">
        <v>3761126329.296793</v>
      </c>
      <c r="P55" s="464">
        <f>+M55+O55</f>
        <v>7338155998.938241</v>
      </c>
      <c r="Q55" s="464">
        <f>M55/(1+F55)</f>
        <v>3390573883.3545885</v>
      </c>
      <c r="R55" s="464">
        <f>($Q55*$R$9)+$Q55</f>
        <v>3545862167.2122288</v>
      </c>
      <c r="S55" s="464">
        <f>M55-R55</f>
        <v>31167502.429219246</v>
      </c>
      <c r="T55" s="464">
        <f>O55/(1+F55)</f>
        <v>3565074344.3202362</v>
      </c>
      <c r="U55" s="464">
        <f>($T55*$U$9)+$T55</f>
        <v>3728354749.290103</v>
      </c>
      <c r="V55" s="464">
        <f>O55-U55</f>
        <v>32771580.006690025</v>
      </c>
      <c r="W55" s="464">
        <f>S55+V55</f>
        <v>63939082.435909271</v>
      </c>
      <c r="Y55" s="361"/>
      <c r="AA55" s="361"/>
      <c r="AB55" s="362"/>
      <c r="AC55" s="362"/>
      <c r="AD55" s="362"/>
      <c r="AE55" s="362"/>
      <c r="AF55" s="362"/>
      <c r="AG55" s="361"/>
    </row>
    <row r="56" spans="2:33" s="355" customFormat="1" ht="12" x14ac:dyDescent="0.2">
      <c r="B56" s="356" t="s">
        <v>621</v>
      </c>
      <c r="C56" s="356">
        <v>90368</v>
      </c>
      <c r="D56" s="481"/>
      <c r="E56" s="357">
        <v>7680000</v>
      </c>
      <c r="F56" s="358">
        <f>(G56/E56)-1</f>
        <v>5.4947916666666652E-2</v>
      </c>
      <c r="G56" s="357">
        <v>8102000</v>
      </c>
      <c r="H56" s="359">
        <v>0.03</v>
      </c>
      <c r="I56" s="360">
        <f t="shared" si="23"/>
        <v>8345060</v>
      </c>
      <c r="J56" s="359">
        <v>0.05</v>
      </c>
      <c r="K56" s="360">
        <f t="shared" si="24"/>
        <v>8507100</v>
      </c>
      <c r="L56" s="471"/>
      <c r="M56" s="469"/>
      <c r="N56" s="471"/>
      <c r="O56" s="469"/>
      <c r="P56" s="467"/>
      <c r="Q56" s="467"/>
      <c r="R56" s="467"/>
      <c r="S56" s="467"/>
      <c r="T56" s="467"/>
      <c r="U56" s="467"/>
      <c r="V56" s="467"/>
      <c r="W56" s="467"/>
      <c r="Y56" s="361"/>
      <c r="AA56" s="361"/>
      <c r="AB56" s="362"/>
      <c r="AC56" s="362"/>
      <c r="AD56" s="362"/>
      <c r="AE56" s="362"/>
      <c r="AF56" s="362"/>
      <c r="AG56" s="361"/>
    </row>
    <row r="57" spans="2:33" s="355" customFormat="1" ht="12" x14ac:dyDescent="0.2">
      <c r="B57" s="356" t="s">
        <v>754</v>
      </c>
      <c r="C57" s="356">
        <v>108766</v>
      </c>
      <c r="D57" s="363">
        <v>144</v>
      </c>
      <c r="E57" s="357">
        <v>8637000</v>
      </c>
      <c r="F57" s="358">
        <f>(G57/E57)-1</f>
        <v>3.9944425147620644E-2</v>
      </c>
      <c r="G57" s="357">
        <v>8982000</v>
      </c>
      <c r="H57" s="359">
        <v>0.03</v>
      </c>
      <c r="I57" s="360">
        <f>+(G57*H57)+G57</f>
        <v>9251460</v>
      </c>
      <c r="J57" s="359">
        <v>0.05</v>
      </c>
      <c r="K57" s="360">
        <f>+(G57*J57)+G57</f>
        <v>9431100</v>
      </c>
      <c r="L57" s="364">
        <v>68</v>
      </c>
      <c r="M57" s="357">
        <v>581908057.8767966</v>
      </c>
      <c r="N57" s="364">
        <v>87</v>
      </c>
      <c r="O57" s="357">
        <v>749026923.93215144</v>
      </c>
      <c r="P57" s="374">
        <f>+M57+O57</f>
        <v>1330934981.808948</v>
      </c>
      <c r="Q57" s="374">
        <f>M57/(1+F57)</f>
        <v>559556879.96903729</v>
      </c>
      <c r="R57" s="374">
        <f t="shared" ref="R57" si="31">($Q57*$R$9)+$Q57</f>
        <v>585184585.07161915</v>
      </c>
      <c r="S57" s="374">
        <f>M57-R57</f>
        <v>-3276527.1948225498</v>
      </c>
      <c r="T57" s="374">
        <f>O57/(1+F57)</f>
        <v>720256684.70296061</v>
      </c>
      <c r="U57" s="374">
        <f t="shared" ref="U57" si="32">($T57*$U$9)+$T57</f>
        <v>753244440.86235619</v>
      </c>
      <c r="V57" s="374">
        <f>O57-U57</f>
        <v>-4217516.9302047491</v>
      </c>
      <c r="W57" s="374">
        <f>S57+V57</f>
        <v>-7494044.1250272989</v>
      </c>
      <c r="Y57" s="361"/>
      <c r="AA57" s="361"/>
      <c r="AB57" s="362"/>
      <c r="AC57" s="362"/>
      <c r="AD57" s="362"/>
      <c r="AE57" s="362"/>
      <c r="AF57" s="362"/>
      <c r="AG57" s="361"/>
    </row>
    <row r="58" spans="2:33" s="349" customFormat="1" ht="12.75" customHeight="1" x14ac:dyDescent="0.2">
      <c r="B58" s="375" t="s">
        <v>449</v>
      </c>
      <c r="C58" s="350"/>
      <c r="D58" s="376"/>
      <c r="E58" s="377"/>
      <c r="F58" s="377"/>
      <c r="G58" s="352"/>
      <c r="H58" s="377"/>
      <c r="I58" s="377"/>
      <c r="J58" s="377"/>
      <c r="K58" s="377"/>
      <c r="L58" s="378"/>
      <c r="M58" s="378"/>
      <c r="N58" s="378"/>
      <c r="O58" s="378"/>
      <c r="P58" s="354"/>
      <c r="Q58" s="354"/>
      <c r="R58" s="354"/>
      <c r="S58" s="354"/>
      <c r="T58" s="354"/>
      <c r="U58" s="354"/>
      <c r="V58" s="354"/>
      <c r="W58" s="354"/>
      <c r="Y58" s="371"/>
      <c r="AA58" s="371"/>
      <c r="AB58" s="372"/>
      <c r="AC58" s="372"/>
      <c r="AD58" s="372"/>
      <c r="AE58" s="372"/>
      <c r="AF58" s="372"/>
      <c r="AG58" s="371"/>
    </row>
    <row r="59" spans="2:33" s="355" customFormat="1" ht="12.75" customHeight="1" x14ac:dyDescent="0.2">
      <c r="B59" s="379" t="s">
        <v>786</v>
      </c>
      <c r="C59" s="356">
        <v>54936</v>
      </c>
      <c r="D59" s="482">
        <v>300</v>
      </c>
      <c r="E59" s="380">
        <v>16762000</v>
      </c>
      <c r="F59" s="358">
        <f t="shared" ref="F59:F64" si="33">(G59/E59)-1</f>
        <v>5.4945710535735603E-2</v>
      </c>
      <c r="G59" s="380">
        <v>17683000</v>
      </c>
      <c r="H59" s="359">
        <v>0.03</v>
      </c>
      <c r="I59" s="360">
        <f t="shared" ref="I59:I64" si="34">+(G59*H59)+G59</f>
        <v>18213490</v>
      </c>
      <c r="J59" s="359">
        <v>0.05</v>
      </c>
      <c r="K59" s="360">
        <f t="shared" ref="K59:K64" si="35">+(G59*J59)+G59</f>
        <v>18567150</v>
      </c>
      <c r="L59" s="470">
        <v>912</v>
      </c>
      <c r="M59" s="468">
        <v>14364335802.91081</v>
      </c>
      <c r="N59" s="470">
        <v>970</v>
      </c>
      <c r="O59" s="468">
        <v>15543906359.77033</v>
      </c>
      <c r="P59" s="464">
        <f>+M59+O59</f>
        <v>29908242162.681141</v>
      </c>
      <c r="Q59" s="464">
        <f>M59/(1+F59)</f>
        <v>13616184851.461348</v>
      </c>
      <c r="R59" s="464">
        <f>($Q59*$R$9)+$Q59</f>
        <v>14239806117.658278</v>
      </c>
      <c r="S59" s="464">
        <f>M59-R59</f>
        <v>124529685.25253296</v>
      </c>
      <c r="T59" s="464">
        <f>O59/(1+F59)</f>
        <v>14734318746.958677</v>
      </c>
      <c r="U59" s="464">
        <f>($T59*$U$9)+$T59</f>
        <v>15409150545.569386</v>
      </c>
      <c r="V59" s="464">
        <f>O59-U59</f>
        <v>134755814.2009449</v>
      </c>
      <c r="W59" s="464">
        <f>S59+V59</f>
        <v>259285499.45347786</v>
      </c>
      <c r="Y59" s="361"/>
      <c r="AA59" s="361"/>
      <c r="AB59" s="362"/>
      <c r="AC59" s="362"/>
      <c r="AD59" s="362"/>
      <c r="AE59" s="362"/>
      <c r="AF59" s="362"/>
      <c r="AG59" s="361"/>
    </row>
    <row r="60" spans="2:33" s="355" customFormat="1" ht="12.75" customHeight="1" x14ac:dyDescent="0.2">
      <c r="B60" s="379" t="s">
        <v>623</v>
      </c>
      <c r="C60" s="356">
        <v>54936</v>
      </c>
      <c r="D60" s="482"/>
      <c r="E60" s="380">
        <v>15484000</v>
      </c>
      <c r="F60" s="358">
        <f t="shared" si="33"/>
        <v>5.4959958667011088E-2</v>
      </c>
      <c r="G60" s="380">
        <v>16335000</v>
      </c>
      <c r="H60" s="359">
        <v>0.03</v>
      </c>
      <c r="I60" s="360">
        <f t="shared" si="34"/>
        <v>16825050</v>
      </c>
      <c r="J60" s="359">
        <v>0.05</v>
      </c>
      <c r="K60" s="360">
        <f t="shared" si="35"/>
        <v>17151750</v>
      </c>
      <c r="L60" s="471"/>
      <c r="M60" s="469"/>
      <c r="N60" s="471"/>
      <c r="O60" s="469"/>
      <c r="P60" s="467"/>
      <c r="Q60" s="467"/>
      <c r="R60" s="467"/>
      <c r="S60" s="467"/>
      <c r="T60" s="467"/>
      <c r="U60" s="467"/>
      <c r="V60" s="467"/>
      <c r="W60" s="467"/>
      <c r="Y60" s="361"/>
      <c r="AA60" s="361"/>
      <c r="AB60" s="362"/>
      <c r="AC60" s="362"/>
      <c r="AD60" s="362"/>
      <c r="AE60" s="362"/>
      <c r="AF60" s="362"/>
      <c r="AG60" s="361"/>
    </row>
    <row r="61" spans="2:33" s="355" customFormat="1" ht="12.75" customHeight="1" x14ac:dyDescent="0.2">
      <c r="B61" s="379" t="s">
        <v>583</v>
      </c>
      <c r="C61" s="356">
        <v>106123</v>
      </c>
      <c r="D61" s="381">
        <v>160</v>
      </c>
      <c r="E61" s="380">
        <v>6692000</v>
      </c>
      <c r="F61" s="358">
        <f t="shared" si="33"/>
        <v>3.9898386132695807E-2</v>
      </c>
      <c r="G61" s="380">
        <v>6959000</v>
      </c>
      <c r="H61" s="359">
        <v>0.03</v>
      </c>
      <c r="I61" s="360">
        <f t="shared" si="34"/>
        <v>7167770</v>
      </c>
      <c r="J61" s="359">
        <v>0.05</v>
      </c>
      <c r="K61" s="360">
        <f t="shared" si="35"/>
        <v>7306950</v>
      </c>
      <c r="L61" s="363">
        <v>209</v>
      </c>
      <c r="M61" s="357">
        <v>1299537003.5829895</v>
      </c>
      <c r="N61" s="363">
        <v>205</v>
      </c>
      <c r="O61" s="357">
        <v>1258655439.1890321</v>
      </c>
      <c r="P61" s="365">
        <f>+M61+O61</f>
        <v>2558192442.7720213</v>
      </c>
      <c r="Q61" s="365">
        <f>M61/(1+F61)</f>
        <v>1249676911.6219809</v>
      </c>
      <c r="R61" s="365">
        <f t="shared" ref="R61:R64" si="36">($Q61*$R$9)+$Q61</f>
        <v>1306912114.1742675</v>
      </c>
      <c r="S61" s="365">
        <f>M61-R61</f>
        <v>-7375110.5912780762</v>
      </c>
      <c r="T61" s="365">
        <f>O61/(1+F61)</f>
        <v>1210363873.9837623</v>
      </c>
      <c r="U61" s="365">
        <f t="shared" ref="U61:U64" si="37">($T61*$U$9)+$T61</f>
        <v>1265798539.4122186</v>
      </c>
      <c r="V61" s="365">
        <f>O61-U61</f>
        <v>-7143100.2231864929</v>
      </c>
      <c r="W61" s="365">
        <f>S61+V61</f>
        <v>-14518210.814464569</v>
      </c>
      <c r="Y61" s="361"/>
      <c r="AA61" s="361"/>
      <c r="AB61" s="362"/>
      <c r="AC61" s="362"/>
      <c r="AD61" s="362"/>
      <c r="AE61" s="362"/>
      <c r="AF61" s="362"/>
      <c r="AG61" s="361"/>
    </row>
    <row r="62" spans="2:33" s="355" customFormat="1" ht="12.75" customHeight="1" x14ac:dyDescent="0.2">
      <c r="B62" s="379" t="s">
        <v>788</v>
      </c>
      <c r="C62" s="492">
        <v>105688</v>
      </c>
      <c r="D62" s="481">
        <v>162</v>
      </c>
      <c r="E62" s="380">
        <v>6833000</v>
      </c>
      <c r="F62" s="358">
        <f t="shared" si="33"/>
        <v>5.9856578369676505E-2</v>
      </c>
      <c r="G62" s="380">
        <v>7242000</v>
      </c>
      <c r="H62" s="359">
        <v>0.03</v>
      </c>
      <c r="I62" s="360">
        <f t="shared" si="34"/>
        <v>7459260</v>
      </c>
      <c r="J62" s="359">
        <v>0.05</v>
      </c>
      <c r="K62" s="360">
        <f t="shared" si="35"/>
        <v>7604100</v>
      </c>
      <c r="L62" s="476">
        <v>423</v>
      </c>
      <c r="M62" s="473">
        <v>2815968393.3736901</v>
      </c>
      <c r="N62" s="476">
        <v>426</v>
      </c>
      <c r="O62" s="473">
        <v>2818246912.8313179</v>
      </c>
      <c r="P62" s="464">
        <f>+M62+O62</f>
        <v>5634215306.2050076</v>
      </c>
      <c r="Q62" s="464">
        <f>M62/(1+F62)</f>
        <v>2656933448.2080126</v>
      </c>
      <c r="R62" s="464">
        <f t="shared" si="36"/>
        <v>2778621000.1359396</v>
      </c>
      <c r="S62" s="464">
        <f>M62-R62</f>
        <v>37347393.23775053</v>
      </c>
      <c r="T62" s="464">
        <f>O62/(1+F62)</f>
        <v>2659083285.7465334</v>
      </c>
      <c r="U62" s="464">
        <f t="shared" si="37"/>
        <v>2780869300.2337246</v>
      </c>
      <c r="V62" s="464">
        <f>O62-U62</f>
        <v>37377612.597593307</v>
      </c>
      <c r="W62" s="464">
        <f t="shared" ref="W62:W64" si="38">S62+V62</f>
        <v>74725005.835343838</v>
      </c>
      <c r="Y62" s="361"/>
      <c r="AA62" s="361"/>
      <c r="AB62" s="362"/>
      <c r="AC62" s="362"/>
      <c r="AD62" s="362"/>
      <c r="AE62" s="362"/>
      <c r="AF62" s="362"/>
      <c r="AG62" s="361"/>
    </row>
    <row r="63" spans="2:33" s="355" customFormat="1" ht="12.75" customHeight="1" x14ac:dyDescent="0.2">
      <c r="B63" s="379" t="s">
        <v>789</v>
      </c>
      <c r="C63" s="493"/>
      <c r="D63" s="481">
        <v>162</v>
      </c>
      <c r="E63" s="380">
        <v>6833000</v>
      </c>
      <c r="F63" s="358">
        <f t="shared" si="33"/>
        <v>5.4880725889067783E-2</v>
      </c>
      <c r="G63" s="380">
        <v>7208000</v>
      </c>
      <c r="H63" s="359">
        <v>0.03</v>
      </c>
      <c r="I63" s="360">
        <f t="shared" si="34"/>
        <v>7424240</v>
      </c>
      <c r="J63" s="359">
        <v>0.05</v>
      </c>
      <c r="K63" s="360">
        <f t="shared" si="35"/>
        <v>7568400</v>
      </c>
      <c r="L63" s="477"/>
      <c r="M63" s="474"/>
      <c r="N63" s="477"/>
      <c r="O63" s="474"/>
      <c r="P63" s="465"/>
      <c r="Q63" s="465">
        <f>M63/(1+F63)</f>
        <v>0</v>
      </c>
      <c r="R63" s="465">
        <f t="shared" si="36"/>
        <v>0</v>
      </c>
      <c r="S63" s="465">
        <f>M63-R63</f>
        <v>0</v>
      </c>
      <c r="T63" s="465">
        <f>O63/(1+F63)</f>
        <v>0</v>
      </c>
      <c r="U63" s="465">
        <f t="shared" si="37"/>
        <v>0</v>
      </c>
      <c r="V63" s="465">
        <f>O63-U63</f>
        <v>0</v>
      </c>
      <c r="W63" s="465">
        <f t="shared" si="38"/>
        <v>0</v>
      </c>
      <c r="X63" s="362"/>
      <c r="Y63" s="361"/>
      <c r="AA63" s="361"/>
      <c r="AB63" s="362"/>
      <c r="AC63" s="362"/>
      <c r="AD63" s="362"/>
      <c r="AE63" s="362"/>
      <c r="AF63" s="362"/>
      <c r="AG63" s="361"/>
    </row>
    <row r="64" spans="2:33" s="355" customFormat="1" ht="12.75" customHeight="1" thickBot="1" x14ac:dyDescent="0.25">
      <c r="B64" s="379" t="s">
        <v>625</v>
      </c>
      <c r="C64" s="494"/>
      <c r="D64" s="481"/>
      <c r="E64" s="380">
        <v>6756000</v>
      </c>
      <c r="F64" s="358">
        <f t="shared" si="33"/>
        <v>5.4914150384843152E-2</v>
      </c>
      <c r="G64" s="380">
        <v>7127000</v>
      </c>
      <c r="H64" s="359">
        <v>0.03</v>
      </c>
      <c r="I64" s="360">
        <f t="shared" si="34"/>
        <v>7340810</v>
      </c>
      <c r="J64" s="359">
        <v>0.05</v>
      </c>
      <c r="K64" s="360">
        <f t="shared" si="35"/>
        <v>7483350</v>
      </c>
      <c r="L64" s="478"/>
      <c r="M64" s="475"/>
      <c r="N64" s="478"/>
      <c r="O64" s="475"/>
      <c r="P64" s="466"/>
      <c r="Q64" s="466">
        <f>M64/(1+F64)</f>
        <v>0</v>
      </c>
      <c r="R64" s="466">
        <f t="shared" si="36"/>
        <v>0</v>
      </c>
      <c r="S64" s="466"/>
      <c r="T64" s="466">
        <f>O64/(1+F64)</f>
        <v>0</v>
      </c>
      <c r="U64" s="466">
        <f t="shared" si="37"/>
        <v>0</v>
      </c>
      <c r="V64" s="466">
        <f>O64-U64</f>
        <v>0</v>
      </c>
      <c r="W64" s="466">
        <f t="shared" si="38"/>
        <v>0</v>
      </c>
      <c r="Y64" s="361"/>
      <c r="AA64" s="361"/>
      <c r="AB64" s="362"/>
      <c r="AC64" s="362"/>
      <c r="AD64" s="362"/>
      <c r="AE64" s="362"/>
      <c r="AF64" s="362"/>
      <c r="AG64" s="361"/>
    </row>
    <row r="65" spans="1:33" s="349" customFormat="1" ht="23.25" customHeight="1" x14ac:dyDescent="0.35">
      <c r="B65" s="309" t="s">
        <v>547</v>
      </c>
      <c r="C65" s="286"/>
      <c r="D65" s="287"/>
      <c r="E65" s="274">
        <f>SUM(E12:E64)</f>
        <v>405023000</v>
      </c>
      <c r="F65" s="310" t="s">
        <v>548</v>
      </c>
      <c r="G65" s="274">
        <f>SUM(G12:G64)</f>
        <v>426229000</v>
      </c>
      <c r="H65" s="284"/>
      <c r="I65" s="274">
        <f>SUM(I12:I64)</f>
        <v>439015870</v>
      </c>
      <c r="J65" s="284"/>
      <c r="K65" s="274">
        <f>SUM(K12:K64)</f>
        <v>447540450</v>
      </c>
      <c r="L65" s="311">
        <f t="shared" ref="L65:W65" si="39">SUM(L12:L64)</f>
        <v>6665</v>
      </c>
      <c r="M65" s="312">
        <f t="shared" si="39"/>
        <v>59717248647</v>
      </c>
      <c r="N65" s="311">
        <f t="shared" si="39"/>
        <v>6696</v>
      </c>
      <c r="O65" s="312">
        <f t="shared" si="39"/>
        <v>60784598588</v>
      </c>
      <c r="P65" s="312">
        <f t="shared" si="39"/>
        <v>120501847234.99998</v>
      </c>
      <c r="Q65" s="312">
        <f t="shared" si="39"/>
        <v>56672030169.208412</v>
      </c>
      <c r="R65" s="312">
        <f t="shared" si="39"/>
        <v>59267609150.95816</v>
      </c>
      <c r="S65" s="312">
        <f t="shared" si="39"/>
        <v>449639496.04184586</v>
      </c>
      <c r="T65" s="312">
        <f t="shared" si="39"/>
        <v>57686884150.449699</v>
      </c>
      <c r="U65" s="312">
        <f t="shared" si="39"/>
        <v>60328943444.540291</v>
      </c>
      <c r="V65" s="312">
        <f t="shared" si="39"/>
        <v>455655143.45970082</v>
      </c>
      <c r="W65" s="312">
        <f t="shared" si="39"/>
        <v>905294639.50154674</v>
      </c>
      <c r="X65" s="372"/>
      <c r="Y65" s="371"/>
      <c r="AA65" s="371"/>
      <c r="AB65" s="372"/>
      <c r="AC65" s="372"/>
      <c r="AD65" s="372"/>
      <c r="AE65" s="372"/>
      <c r="AF65" s="372"/>
      <c r="AG65" s="371"/>
    </row>
    <row r="66" spans="1:33" s="349" customFormat="1" ht="26.25" customHeight="1" thickBot="1" x14ac:dyDescent="0.3">
      <c r="A66" s="349" t="s">
        <v>575</v>
      </c>
      <c r="B66" s="313" t="s">
        <v>549</v>
      </c>
      <c r="C66" s="285"/>
      <c r="D66" s="288"/>
      <c r="E66" s="314"/>
      <c r="F66" s="315"/>
      <c r="G66" s="275">
        <f>+SUMPRODUCT(G12:G64,F12:F64)/G65</f>
        <v>5.2392220692338232E-2</v>
      </c>
      <c r="H66" s="285"/>
      <c r="I66" s="285"/>
      <c r="J66" s="285"/>
      <c r="K66" s="285"/>
      <c r="L66" s="277"/>
      <c r="M66" s="278"/>
      <c r="N66" s="277"/>
      <c r="O66" s="279"/>
      <c r="P66" s="279"/>
      <c r="Q66" s="275"/>
      <c r="R66" s="275"/>
      <c r="S66" s="275"/>
      <c r="T66" s="275"/>
      <c r="U66" s="275"/>
      <c r="V66" s="275"/>
      <c r="W66" s="275"/>
      <c r="X66" s="372"/>
      <c r="Y66" s="382"/>
      <c r="AA66" s="371"/>
      <c r="AB66" s="372"/>
      <c r="AC66" s="372"/>
      <c r="AD66" s="372"/>
      <c r="AE66" s="372"/>
      <c r="AF66" s="372"/>
      <c r="AG66" s="371"/>
    </row>
    <row r="67" spans="1:33" s="349" customFormat="1" ht="24" customHeight="1" thickBot="1" x14ac:dyDescent="0.25">
      <c r="B67" s="308" t="s">
        <v>550</v>
      </c>
      <c r="C67" s="276"/>
      <c r="D67" s="289"/>
      <c r="E67" s="276"/>
      <c r="F67" s="31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Y67" s="371"/>
      <c r="AA67" s="371"/>
      <c r="AB67" s="372"/>
      <c r="AC67" s="372"/>
      <c r="AD67" s="372"/>
      <c r="AE67" s="372"/>
      <c r="AF67" s="372"/>
      <c r="AG67" s="371"/>
    </row>
    <row r="68" spans="1:33" s="349" customFormat="1" ht="12" x14ac:dyDescent="0.2">
      <c r="B68" s="350" t="s">
        <v>449</v>
      </c>
      <c r="C68" s="350"/>
      <c r="D68" s="351"/>
      <c r="E68" s="352"/>
      <c r="F68" s="383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Y68" s="371"/>
      <c r="AA68" s="371"/>
      <c r="AB68" s="372"/>
      <c r="AC68" s="372"/>
      <c r="AD68" s="372"/>
      <c r="AE68" s="372"/>
      <c r="AF68" s="372"/>
      <c r="AG68" s="371"/>
    </row>
    <row r="69" spans="1:33" s="355" customFormat="1" ht="12" x14ac:dyDescent="0.2">
      <c r="B69" s="356" t="s">
        <v>474</v>
      </c>
      <c r="C69" s="356">
        <v>103047</v>
      </c>
      <c r="D69" s="363">
        <v>48</v>
      </c>
      <c r="E69" s="357">
        <v>10097000</v>
      </c>
      <c r="F69" s="358">
        <f t="shared" ref="F69:F75" si="40">(G69/E69)-1</f>
        <v>5.4966821828265733E-2</v>
      </c>
      <c r="G69" s="357">
        <v>10652000</v>
      </c>
      <c r="H69" s="359">
        <v>0.03</v>
      </c>
      <c r="I69" s="360">
        <f t="shared" ref="I69:I74" si="41">+(G69*H69)+G69</f>
        <v>10971560</v>
      </c>
      <c r="J69" s="359">
        <v>0.05</v>
      </c>
      <c r="K69" s="360">
        <f t="shared" ref="K69:K74" si="42">+(G69*J69)+G69</f>
        <v>11184600</v>
      </c>
      <c r="L69" s="363">
        <v>19</v>
      </c>
      <c r="M69" s="357">
        <v>193866400</v>
      </c>
      <c r="N69" s="363">
        <v>39</v>
      </c>
      <c r="O69" s="357">
        <v>401580400</v>
      </c>
      <c r="P69" s="365">
        <f t="shared" ref="P69:P75" si="43">+M69+O69</f>
        <v>595446800</v>
      </c>
      <c r="Q69" s="365">
        <f t="shared" ref="Q69:Q75" si="44">M69/(1+F69)</f>
        <v>183765400.00000003</v>
      </c>
      <c r="R69" s="365">
        <f t="shared" ref="R69:R73" si="45">($Q69*$R$9)+$Q69</f>
        <v>192181855.32000002</v>
      </c>
      <c r="S69" s="365">
        <f t="shared" ref="S69:S75" si="46">M69-R69</f>
        <v>1684544.6799999774</v>
      </c>
      <c r="T69" s="365">
        <f t="shared" ref="T69:T75" si="47">O69/(1+F69)</f>
        <v>380656900.00000006</v>
      </c>
      <c r="U69" s="365">
        <f>($T69*$U$9)+$T69</f>
        <v>398090986.02000004</v>
      </c>
      <c r="V69" s="365">
        <f t="shared" ref="V69:V75" si="48">O69-U69</f>
        <v>3489413.9799999595</v>
      </c>
      <c r="W69" s="365">
        <f t="shared" ref="W69:W71" si="49">S69+V69</f>
        <v>5173958.6599999368</v>
      </c>
      <c r="Y69" s="361"/>
      <c r="AA69" s="361"/>
      <c r="AB69" s="362"/>
      <c r="AC69" s="362"/>
      <c r="AD69" s="362"/>
      <c r="AE69" s="362"/>
      <c r="AF69" s="362"/>
      <c r="AG69" s="361"/>
    </row>
    <row r="70" spans="1:33" s="355" customFormat="1" ht="12" x14ac:dyDescent="0.2">
      <c r="B70" s="356" t="s">
        <v>559</v>
      </c>
      <c r="C70" s="356">
        <v>105878</v>
      </c>
      <c r="D70" s="363">
        <v>191</v>
      </c>
      <c r="E70" s="357">
        <v>16345000</v>
      </c>
      <c r="F70" s="358">
        <f t="shared" si="40"/>
        <v>5.4940348730498689E-2</v>
      </c>
      <c r="G70" s="357">
        <v>17243000</v>
      </c>
      <c r="H70" s="359">
        <v>0.03</v>
      </c>
      <c r="I70" s="360">
        <f t="shared" si="41"/>
        <v>17760290</v>
      </c>
      <c r="J70" s="359">
        <v>0.05</v>
      </c>
      <c r="K70" s="360">
        <f t="shared" si="42"/>
        <v>18105150</v>
      </c>
      <c r="L70" s="363">
        <v>18</v>
      </c>
      <c r="M70" s="357">
        <v>300028200</v>
      </c>
      <c r="N70" s="363">
        <v>18</v>
      </c>
      <c r="O70" s="357">
        <v>297441750</v>
      </c>
      <c r="P70" s="365">
        <f t="shared" si="43"/>
        <v>597469950</v>
      </c>
      <c r="Q70" s="365">
        <f t="shared" si="44"/>
        <v>284403000</v>
      </c>
      <c r="R70" s="365">
        <f t="shared" si="45"/>
        <v>297428657.39999998</v>
      </c>
      <c r="S70" s="365">
        <f t="shared" si="46"/>
        <v>2599542.6000000238</v>
      </c>
      <c r="T70" s="365">
        <f t="shared" si="47"/>
        <v>281951250</v>
      </c>
      <c r="U70" s="365">
        <f t="shared" ref="U70:U75" si="50">($T70*$U$9)+$T70</f>
        <v>294864617.25</v>
      </c>
      <c r="V70" s="365">
        <f t="shared" si="48"/>
        <v>2577132.75</v>
      </c>
      <c r="W70" s="365">
        <f t="shared" si="49"/>
        <v>5176675.3500000238</v>
      </c>
      <c r="Y70" s="361"/>
      <c r="AA70" s="361"/>
      <c r="AB70" s="362"/>
      <c r="AC70" s="362"/>
      <c r="AD70" s="362"/>
      <c r="AE70" s="362"/>
      <c r="AF70" s="362"/>
      <c r="AG70" s="361"/>
    </row>
    <row r="71" spans="1:33" s="355" customFormat="1" ht="12" x14ac:dyDescent="0.2">
      <c r="B71" s="356" t="s">
        <v>558</v>
      </c>
      <c r="C71" s="356">
        <v>106180</v>
      </c>
      <c r="D71" s="363">
        <v>197</v>
      </c>
      <c r="E71" s="357">
        <v>16345000</v>
      </c>
      <c r="F71" s="358">
        <f t="shared" si="40"/>
        <v>5.4940348730498689E-2</v>
      </c>
      <c r="G71" s="357">
        <v>17243000</v>
      </c>
      <c r="H71" s="359">
        <v>0.03</v>
      </c>
      <c r="I71" s="360">
        <f t="shared" si="41"/>
        <v>17760290</v>
      </c>
      <c r="J71" s="359">
        <v>0.05</v>
      </c>
      <c r="K71" s="360">
        <f t="shared" si="42"/>
        <v>18105150</v>
      </c>
      <c r="L71" s="363">
        <v>28</v>
      </c>
      <c r="M71" s="357">
        <v>475044650</v>
      </c>
      <c r="N71" s="363">
        <v>33</v>
      </c>
      <c r="O71" s="357">
        <v>558673200</v>
      </c>
      <c r="P71" s="365">
        <f t="shared" si="43"/>
        <v>1033717850</v>
      </c>
      <c r="Q71" s="365">
        <f t="shared" si="44"/>
        <v>450304750</v>
      </c>
      <c r="R71" s="365">
        <f t="shared" si="45"/>
        <v>470928707.55000001</v>
      </c>
      <c r="S71" s="365">
        <f t="shared" si="46"/>
        <v>4115942.4499999881</v>
      </c>
      <c r="T71" s="365">
        <f t="shared" si="47"/>
        <v>529577999.99999994</v>
      </c>
      <c r="U71" s="365">
        <f t="shared" si="50"/>
        <v>553832672.39999998</v>
      </c>
      <c r="V71" s="365">
        <f t="shared" si="48"/>
        <v>4840527.6000000238</v>
      </c>
      <c r="W71" s="365">
        <f t="shared" si="49"/>
        <v>8956470.0500000119</v>
      </c>
      <c r="Y71" s="361"/>
      <c r="AA71" s="361"/>
      <c r="AB71" s="362"/>
      <c r="AC71" s="362"/>
      <c r="AD71" s="362"/>
      <c r="AE71" s="362"/>
      <c r="AF71" s="362"/>
      <c r="AG71" s="361"/>
    </row>
    <row r="72" spans="1:33" s="355" customFormat="1" ht="12" x14ac:dyDescent="0.2">
      <c r="B72" s="356" t="s">
        <v>562</v>
      </c>
      <c r="C72" s="356">
        <v>106387</v>
      </c>
      <c r="D72" s="363">
        <v>198</v>
      </c>
      <c r="E72" s="357">
        <v>12917000</v>
      </c>
      <c r="F72" s="358">
        <f t="shared" si="40"/>
        <v>5.4966323449717525E-2</v>
      </c>
      <c r="G72" s="357">
        <v>13627000</v>
      </c>
      <c r="H72" s="359">
        <v>0.03</v>
      </c>
      <c r="I72" s="360">
        <f t="shared" si="41"/>
        <v>14035810</v>
      </c>
      <c r="J72" s="359">
        <v>0.05</v>
      </c>
      <c r="K72" s="360">
        <f t="shared" si="42"/>
        <v>14308350</v>
      </c>
      <c r="L72" s="363">
        <v>32</v>
      </c>
      <c r="M72" s="357">
        <v>416304850</v>
      </c>
      <c r="N72" s="363">
        <v>31</v>
      </c>
      <c r="O72" s="357">
        <v>400633800</v>
      </c>
      <c r="P72" s="365">
        <f t="shared" si="43"/>
        <v>816938650</v>
      </c>
      <c r="Q72" s="365">
        <f t="shared" si="44"/>
        <v>394614349.99999994</v>
      </c>
      <c r="R72" s="365">
        <f t="shared" si="45"/>
        <v>412687687.22999996</v>
      </c>
      <c r="S72" s="365">
        <f t="shared" si="46"/>
        <v>3617162.7700000405</v>
      </c>
      <c r="T72" s="365">
        <f t="shared" si="47"/>
        <v>379759799.99999994</v>
      </c>
      <c r="U72" s="365">
        <f t="shared" si="50"/>
        <v>397152798.83999991</v>
      </c>
      <c r="V72" s="365">
        <f t="shared" si="48"/>
        <v>3481001.1600000858</v>
      </c>
      <c r="W72" s="365">
        <f t="shared" ref="W72" si="51">S72+V72</f>
        <v>7098163.9300001264</v>
      </c>
      <c r="Y72" s="361"/>
      <c r="AA72" s="361"/>
      <c r="AB72" s="362"/>
      <c r="AC72" s="362"/>
      <c r="AD72" s="362"/>
      <c r="AE72" s="362"/>
      <c r="AF72" s="362"/>
      <c r="AG72" s="361"/>
    </row>
    <row r="73" spans="1:33" s="355" customFormat="1" ht="12" x14ac:dyDescent="0.2">
      <c r="B73" s="356" t="s">
        <v>721</v>
      </c>
      <c r="C73" s="356">
        <v>107467</v>
      </c>
      <c r="D73" s="363">
        <v>175</v>
      </c>
      <c r="E73" s="357">
        <v>12917000</v>
      </c>
      <c r="F73" s="358">
        <f t="shared" si="40"/>
        <v>5.4966323449717525E-2</v>
      </c>
      <c r="G73" s="357">
        <v>13627000</v>
      </c>
      <c r="H73" s="359">
        <v>0.03</v>
      </c>
      <c r="I73" s="360">
        <f t="shared" si="41"/>
        <v>14035810</v>
      </c>
      <c r="J73" s="359">
        <v>0.05</v>
      </c>
      <c r="K73" s="360">
        <f t="shared" si="42"/>
        <v>14308350</v>
      </c>
      <c r="L73" s="363">
        <v>28</v>
      </c>
      <c r="M73" s="357">
        <v>361115500</v>
      </c>
      <c r="N73" s="363">
        <v>29</v>
      </c>
      <c r="O73" s="357">
        <v>372698450</v>
      </c>
      <c r="P73" s="365">
        <f t="shared" si="43"/>
        <v>733813950</v>
      </c>
      <c r="Q73" s="365">
        <f t="shared" si="44"/>
        <v>342300499.99999994</v>
      </c>
      <c r="R73" s="365">
        <f t="shared" si="45"/>
        <v>357977862.89999992</v>
      </c>
      <c r="S73" s="365">
        <f t="shared" si="46"/>
        <v>3137637.1000000834</v>
      </c>
      <c r="T73" s="365">
        <f t="shared" si="47"/>
        <v>353279949.99999994</v>
      </c>
      <c r="U73" s="365">
        <f t="shared" si="50"/>
        <v>369460171.70999992</v>
      </c>
      <c r="V73" s="365">
        <f t="shared" si="48"/>
        <v>3238278.2900000811</v>
      </c>
      <c r="W73" s="365">
        <f t="shared" ref="W73" si="52">S73+V73</f>
        <v>6375915.3900001645</v>
      </c>
      <c r="Y73" s="361"/>
      <c r="AA73" s="361"/>
      <c r="AB73" s="362"/>
      <c r="AC73" s="362"/>
      <c r="AD73" s="362"/>
      <c r="AE73" s="362"/>
      <c r="AF73" s="362"/>
      <c r="AG73" s="361"/>
    </row>
    <row r="74" spans="1:33" s="355" customFormat="1" ht="12" x14ac:dyDescent="0.2">
      <c r="B74" s="356" t="s">
        <v>755</v>
      </c>
      <c r="C74" s="356">
        <v>109093</v>
      </c>
      <c r="D74" s="363">
        <v>133</v>
      </c>
      <c r="E74" s="357">
        <v>13154000</v>
      </c>
      <c r="F74" s="358">
        <f t="shared" si="40"/>
        <v>5.4964269423749323E-2</v>
      </c>
      <c r="G74" s="357">
        <v>13877000</v>
      </c>
      <c r="H74" s="359">
        <v>0.03</v>
      </c>
      <c r="I74" s="360">
        <f t="shared" si="41"/>
        <v>14293310</v>
      </c>
      <c r="J74" s="359">
        <v>0.05</v>
      </c>
      <c r="K74" s="360">
        <f t="shared" si="42"/>
        <v>14570850</v>
      </c>
      <c r="L74" s="363">
        <v>4</v>
      </c>
      <c r="M74" s="357">
        <v>55508000</v>
      </c>
      <c r="N74" s="363">
        <v>4</v>
      </c>
      <c r="O74" s="357">
        <v>55508000</v>
      </c>
      <c r="P74" s="385">
        <f t="shared" si="43"/>
        <v>111016000</v>
      </c>
      <c r="Q74" s="365">
        <f t="shared" si="44"/>
        <v>52616000.000000007</v>
      </c>
      <c r="R74" s="365">
        <f>($Q74*$R$9)+$Q74</f>
        <v>55025812.800000004</v>
      </c>
      <c r="S74" s="365">
        <f t="shared" si="46"/>
        <v>482187.19999999553</v>
      </c>
      <c r="T74" s="365">
        <f t="shared" si="47"/>
        <v>52616000.000000007</v>
      </c>
      <c r="U74" s="365">
        <f t="shared" si="50"/>
        <v>55025812.800000004</v>
      </c>
      <c r="V74" s="385">
        <f t="shared" si="48"/>
        <v>482187.19999999553</v>
      </c>
      <c r="W74" s="365">
        <f>S74+V74</f>
        <v>964374.39999999106</v>
      </c>
      <c r="Y74" s="361"/>
      <c r="AA74" s="361"/>
      <c r="AB74" s="362"/>
      <c r="AC74" s="362"/>
      <c r="AD74" s="362"/>
      <c r="AE74" s="362"/>
      <c r="AF74" s="362"/>
      <c r="AG74" s="361"/>
    </row>
    <row r="75" spans="1:33" s="355" customFormat="1" ht="12" x14ac:dyDescent="0.2">
      <c r="B75" s="356" t="s">
        <v>790</v>
      </c>
      <c r="C75" s="356">
        <v>110090</v>
      </c>
      <c r="D75" s="363">
        <v>132</v>
      </c>
      <c r="E75" s="357">
        <v>16564000</v>
      </c>
      <c r="F75" s="358">
        <f t="shared" si="40"/>
        <v>5.4998792562183096E-2</v>
      </c>
      <c r="G75" s="357">
        <v>17475000</v>
      </c>
      <c r="H75" s="359">
        <v>0.03</v>
      </c>
      <c r="I75" s="360">
        <f t="shared" ref="I75" si="53">+(G75*H75)+G75</f>
        <v>17999250</v>
      </c>
      <c r="J75" s="359">
        <v>0.05</v>
      </c>
      <c r="K75" s="360">
        <f t="shared" ref="K75" si="54">+(G75*J75)+G75</f>
        <v>18348750</v>
      </c>
      <c r="L75" s="363">
        <v>2</v>
      </c>
      <c r="M75" s="357">
        <v>34950000</v>
      </c>
      <c r="N75" s="363">
        <v>3</v>
      </c>
      <c r="O75" s="357">
        <v>52425000</v>
      </c>
      <c r="P75" s="385">
        <f t="shared" si="43"/>
        <v>87375000</v>
      </c>
      <c r="Q75" s="365">
        <f t="shared" si="44"/>
        <v>33128000</v>
      </c>
      <c r="R75" s="365">
        <f>($Q75*$R$9)+$Q75</f>
        <v>34645262.399999999</v>
      </c>
      <c r="S75" s="365">
        <f t="shared" si="46"/>
        <v>304737.60000000149</v>
      </c>
      <c r="T75" s="365">
        <f t="shared" si="47"/>
        <v>49692000</v>
      </c>
      <c r="U75" s="365">
        <f t="shared" si="50"/>
        <v>51967893.600000001</v>
      </c>
      <c r="V75" s="385">
        <f t="shared" si="48"/>
        <v>457106.39999999851</v>
      </c>
      <c r="W75" s="365">
        <f>S75+V75</f>
        <v>761844</v>
      </c>
      <c r="Y75" s="361"/>
      <c r="AA75" s="361"/>
      <c r="AB75" s="362"/>
      <c r="AC75" s="362"/>
      <c r="AD75" s="362"/>
      <c r="AE75" s="362"/>
      <c r="AF75" s="362"/>
      <c r="AG75" s="361"/>
    </row>
    <row r="76" spans="1:33" s="349" customFormat="1" ht="12.75" x14ac:dyDescent="0.2">
      <c r="B76" s="350" t="s">
        <v>503</v>
      </c>
      <c r="C76" s="350"/>
      <c r="D76" s="351"/>
      <c r="E76" s="352"/>
      <c r="F76" s="386"/>
      <c r="G76" s="387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Y76" s="371"/>
      <c r="AA76" s="371"/>
      <c r="AB76" s="372"/>
      <c r="AC76" s="372"/>
      <c r="AD76" s="372"/>
      <c r="AE76" s="372"/>
      <c r="AF76" s="372"/>
      <c r="AG76" s="371"/>
    </row>
    <row r="77" spans="1:33" s="355" customFormat="1" ht="12" x14ac:dyDescent="0.2">
      <c r="B77" s="356" t="s">
        <v>791</v>
      </c>
      <c r="C77" s="356">
        <v>1047</v>
      </c>
      <c r="D77" s="363">
        <v>26</v>
      </c>
      <c r="E77" s="357">
        <v>10191000</v>
      </c>
      <c r="F77" s="358">
        <f t="shared" ref="F77:F86" si="55">(G77/E77)-1</f>
        <v>5.4950446472377568E-2</v>
      </c>
      <c r="G77" s="357">
        <v>10751000</v>
      </c>
      <c r="H77" s="359">
        <v>0.03</v>
      </c>
      <c r="I77" s="360">
        <f t="shared" ref="I77:I86" si="56">+(G77*H77)+G77</f>
        <v>11073530</v>
      </c>
      <c r="J77" s="359">
        <v>0.05</v>
      </c>
      <c r="K77" s="360">
        <f t="shared" ref="K77:K86" si="57">+(G77*J77)+G77</f>
        <v>11288550</v>
      </c>
      <c r="L77" s="363">
        <v>34</v>
      </c>
      <c r="M77" s="357">
        <v>292028652.6090585</v>
      </c>
      <c r="N77" s="389">
        <v>32</v>
      </c>
      <c r="O77" s="357">
        <v>264790806.2030654</v>
      </c>
      <c r="P77" s="365">
        <f t="shared" ref="P77:P83" si="58">+M77+O77</f>
        <v>556819458.81212389</v>
      </c>
      <c r="Q77" s="365">
        <f t="shared" ref="Q77:Q83" si="59">M77/(1+F77)</f>
        <v>276817412.2164371</v>
      </c>
      <c r="R77" s="365">
        <f t="shared" ref="R77:R91" si="60">($Q77*$R$9)+$Q77</f>
        <v>289495649.69594991</v>
      </c>
      <c r="S77" s="365">
        <f t="shared" ref="S77:S83" si="61">M77-R77</f>
        <v>2533002.9131085873</v>
      </c>
      <c r="T77" s="365">
        <f t="shared" ref="T77:T83" si="62">O77/(1+F77)</f>
        <v>250998335.59812477</v>
      </c>
      <c r="U77" s="365">
        <f t="shared" ref="U77:U91" si="63">($T77*$U$9)+$T77</f>
        <v>262494059.36851889</v>
      </c>
      <c r="V77" s="365">
        <f t="shared" ref="V77:V83" si="64">O77-U77</f>
        <v>2296746.8345465064</v>
      </c>
      <c r="W77" s="365">
        <f t="shared" ref="W77:W86" si="65">S77+V77</f>
        <v>4829749.7476550937</v>
      </c>
      <c r="Y77" s="361"/>
      <c r="AA77" s="361"/>
      <c r="AB77" s="362"/>
      <c r="AC77" s="362"/>
      <c r="AD77" s="362"/>
      <c r="AE77" s="362"/>
      <c r="AF77" s="362"/>
      <c r="AG77" s="361"/>
    </row>
    <row r="78" spans="1:33" s="355" customFormat="1" ht="12" x14ac:dyDescent="0.2">
      <c r="B78" s="356" t="s">
        <v>793</v>
      </c>
      <c r="C78" s="356">
        <v>16878</v>
      </c>
      <c r="D78" s="363">
        <v>26</v>
      </c>
      <c r="E78" s="357">
        <v>10191000</v>
      </c>
      <c r="F78" s="358">
        <f t="shared" si="55"/>
        <v>5.4950446472377568E-2</v>
      </c>
      <c r="G78" s="357">
        <v>10751000</v>
      </c>
      <c r="H78" s="359">
        <v>0.03</v>
      </c>
      <c r="I78" s="360">
        <f t="shared" si="56"/>
        <v>11073530</v>
      </c>
      <c r="J78" s="359">
        <v>0.05</v>
      </c>
      <c r="K78" s="360">
        <f t="shared" si="57"/>
        <v>11288550</v>
      </c>
      <c r="L78" s="363">
        <v>38</v>
      </c>
      <c r="M78" s="357">
        <v>325222608.00953519</v>
      </c>
      <c r="N78" s="389">
        <v>34</v>
      </c>
      <c r="O78" s="357">
        <v>281883992.80350339</v>
      </c>
      <c r="P78" s="365">
        <f t="shared" si="58"/>
        <v>607106600.81303859</v>
      </c>
      <c r="Q78" s="365">
        <f t="shared" si="59"/>
        <v>308282354.96467054</v>
      </c>
      <c r="R78" s="365">
        <f t="shared" si="60"/>
        <v>322401686.82205248</v>
      </c>
      <c r="S78" s="365">
        <f t="shared" si="61"/>
        <v>2820921.1874827147</v>
      </c>
      <c r="T78" s="365">
        <f t="shared" si="62"/>
        <v>267201169.25499982</v>
      </c>
      <c r="U78" s="365">
        <f t="shared" si="63"/>
        <v>279438982.80687881</v>
      </c>
      <c r="V78" s="365">
        <f t="shared" si="64"/>
        <v>2445009.996624589</v>
      </c>
      <c r="W78" s="365">
        <f t="shared" ref="W78:W83" si="66">S78+V78</f>
        <v>5265931.1841073036</v>
      </c>
      <c r="Y78" s="361"/>
      <c r="AA78" s="361"/>
      <c r="AB78" s="362"/>
      <c r="AC78" s="362"/>
      <c r="AD78" s="362"/>
      <c r="AE78" s="362"/>
      <c r="AF78" s="362"/>
      <c r="AG78" s="361"/>
    </row>
    <row r="79" spans="1:33" s="355" customFormat="1" ht="12" x14ac:dyDescent="0.2">
      <c r="B79" s="356" t="s">
        <v>792</v>
      </c>
      <c r="C79" s="356">
        <v>107496</v>
      </c>
      <c r="D79" s="363">
        <v>26</v>
      </c>
      <c r="E79" s="357">
        <v>10191000</v>
      </c>
      <c r="F79" s="358">
        <f t="shared" si="55"/>
        <v>5.4950446472377568E-2</v>
      </c>
      <c r="G79" s="357">
        <v>10751000</v>
      </c>
      <c r="H79" s="359">
        <v>0.03</v>
      </c>
      <c r="I79" s="360">
        <f t="shared" si="56"/>
        <v>11073530</v>
      </c>
      <c r="J79" s="359">
        <v>0.05</v>
      </c>
      <c r="K79" s="360">
        <f t="shared" si="57"/>
        <v>11288550</v>
      </c>
      <c r="L79" s="363">
        <v>25</v>
      </c>
      <c r="M79" s="357">
        <v>212872714.8057211</v>
      </c>
      <c r="N79" s="389">
        <v>25</v>
      </c>
      <c r="O79" s="357">
        <v>207381369.60262752</v>
      </c>
      <c r="P79" s="365">
        <f t="shared" si="58"/>
        <v>420254084.40834862</v>
      </c>
      <c r="Q79" s="365">
        <f t="shared" si="59"/>
        <v>201784562.97880232</v>
      </c>
      <c r="R79" s="365">
        <f t="shared" si="60"/>
        <v>211026295.96323147</v>
      </c>
      <c r="S79" s="365">
        <f t="shared" si="61"/>
        <v>1846418.84248963</v>
      </c>
      <c r="T79" s="365">
        <f t="shared" si="62"/>
        <v>196579251.94124985</v>
      </c>
      <c r="U79" s="365">
        <f t="shared" si="63"/>
        <v>205582581.68015909</v>
      </c>
      <c r="V79" s="365">
        <f t="shared" si="64"/>
        <v>1798787.9224684238</v>
      </c>
      <c r="W79" s="365">
        <f t="shared" si="66"/>
        <v>3645206.7649580538</v>
      </c>
      <c r="Y79" s="361"/>
      <c r="AA79" s="361"/>
      <c r="AB79" s="362"/>
      <c r="AC79" s="362"/>
      <c r="AD79" s="362"/>
      <c r="AE79" s="362"/>
      <c r="AF79" s="362"/>
      <c r="AG79" s="361"/>
    </row>
    <row r="80" spans="1:33" s="355" customFormat="1" ht="12" x14ac:dyDescent="0.2">
      <c r="B80" s="356" t="s">
        <v>506</v>
      </c>
      <c r="C80" s="356">
        <v>105459</v>
      </c>
      <c r="D80" s="363">
        <v>22</v>
      </c>
      <c r="E80" s="357">
        <v>10191000</v>
      </c>
      <c r="F80" s="358">
        <f t="shared" si="55"/>
        <v>5.4950446472377568E-2</v>
      </c>
      <c r="G80" s="357">
        <v>10751000</v>
      </c>
      <c r="H80" s="359">
        <v>0.03</v>
      </c>
      <c r="I80" s="360">
        <f t="shared" si="56"/>
        <v>11073530</v>
      </c>
      <c r="J80" s="359">
        <v>0.05</v>
      </c>
      <c r="K80" s="360">
        <f t="shared" si="57"/>
        <v>11288550</v>
      </c>
      <c r="L80" s="363">
        <v>7</v>
      </c>
      <c r="M80" s="357">
        <v>58324660.800953522</v>
      </c>
      <c r="N80" s="389">
        <v>9</v>
      </c>
      <c r="O80" s="357">
        <v>74502623.200875834</v>
      </c>
      <c r="P80" s="365">
        <f t="shared" si="58"/>
        <v>132827284.00182936</v>
      </c>
      <c r="Q80" s="365">
        <f t="shared" si="59"/>
        <v>55286635.496467061</v>
      </c>
      <c r="R80" s="365">
        <f t="shared" si="60"/>
        <v>57818763.402205251</v>
      </c>
      <c r="S80" s="365">
        <f t="shared" si="61"/>
        <v>505897.39874827117</v>
      </c>
      <c r="T80" s="365">
        <f t="shared" si="62"/>
        <v>70621917.313749939</v>
      </c>
      <c r="U80" s="365">
        <f t="shared" si="63"/>
        <v>73856401.126719683</v>
      </c>
      <c r="V80" s="365">
        <f t="shared" si="64"/>
        <v>646222.07415615022</v>
      </c>
      <c r="W80" s="365">
        <f t="shared" si="66"/>
        <v>1152119.4729044214</v>
      </c>
      <c r="Y80" s="361"/>
      <c r="AA80" s="361"/>
      <c r="AB80" s="362"/>
      <c r="AC80" s="362"/>
      <c r="AD80" s="362"/>
      <c r="AE80" s="362"/>
      <c r="AF80" s="362"/>
      <c r="AG80" s="361"/>
    </row>
    <row r="81" spans="2:33" s="355" customFormat="1" ht="12" x14ac:dyDescent="0.2">
      <c r="B81" s="356" t="s">
        <v>463</v>
      </c>
      <c r="C81" s="356">
        <v>52282</v>
      </c>
      <c r="D81" s="363">
        <v>44</v>
      </c>
      <c r="E81" s="357">
        <v>10557000</v>
      </c>
      <c r="F81" s="358">
        <f t="shared" si="55"/>
        <v>5.4939850336269691E-2</v>
      </c>
      <c r="G81" s="357">
        <v>11137000</v>
      </c>
      <c r="H81" s="359">
        <v>0.03</v>
      </c>
      <c r="I81" s="360">
        <f t="shared" si="56"/>
        <v>11471110</v>
      </c>
      <c r="J81" s="359">
        <v>0.05</v>
      </c>
      <c r="K81" s="360">
        <f t="shared" si="57"/>
        <v>11693850</v>
      </c>
      <c r="L81" s="363">
        <v>25</v>
      </c>
      <c r="M81" s="357">
        <v>225389315.06528372</v>
      </c>
      <c r="N81" s="363">
        <v>23</v>
      </c>
      <c r="O81" s="357">
        <v>203734101.4897134</v>
      </c>
      <c r="P81" s="365">
        <f t="shared" si="58"/>
        <v>429123416.55499709</v>
      </c>
      <c r="Q81" s="365">
        <f t="shared" si="59"/>
        <v>213651342.29542968</v>
      </c>
      <c r="R81" s="365">
        <f t="shared" si="60"/>
        <v>223436573.77256036</v>
      </c>
      <c r="S81" s="365">
        <f t="shared" si="61"/>
        <v>1952741.2927233577</v>
      </c>
      <c r="T81" s="365">
        <f t="shared" si="62"/>
        <v>193123903.15407243</v>
      </c>
      <c r="U81" s="365">
        <f t="shared" si="63"/>
        <v>201968977.91852894</v>
      </c>
      <c r="V81" s="365">
        <f t="shared" si="64"/>
        <v>1765123.5711844563</v>
      </c>
      <c r="W81" s="365">
        <f t="shared" si="66"/>
        <v>3717864.863907814</v>
      </c>
      <c r="Y81" s="361"/>
      <c r="AA81" s="361"/>
      <c r="AB81" s="362"/>
      <c r="AC81" s="362"/>
      <c r="AD81" s="362"/>
      <c r="AE81" s="362"/>
      <c r="AF81" s="362"/>
      <c r="AG81" s="361"/>
    </row>
    <row r="82" spans="2:33" s="355" customFormat="1" ht="12" x14ac:dyDescent="0.2">
      <c r="B82" s="356" t="s">
        <v>464</v>
      </c>
      <c r="C82" s="356">
        <v>103306</v>
      </c>
      <c r="D82" s="363">
        <v>44</v>
      </c>
      <c r="E82" s="357">
        <v>10557000</v>
      </c>
      <c r="F82" s="358">
        <f t="shared" si="55"/>
        <v>5.4939850336269691E-2</v>
      </c>
      <c r="G82" s="357">
        <v>11137000</v>
      </c>
      <c r="H82" s="359">
        <v>0.03</v>
      </c>
      <c r="I82" s="360">
        <f t="shared" si="56"/>
        <v>11471110</v>
      </c>
      <c r="J82" s="359">
        <v>0.05</v>
      </c>
      <c r="K82" s="360">
        <f t="shared" si="57"/>
        <v>11693850</v>
      </c>
      <c r="L82" s="363">
        <v>52</v>
      </c>
      <c r="M82" s="357">
        <v>471383086.61651647</v>
      </c>
      <c r="N82" s="363">
        <v>48</v>
      </c>
      <c r="O82" s="357">
        <v>427272596.71001709</v>
      </c>
      <c r="P82" s="365">
        <f t="shared" si="58"/>
        <v>898655683.32653356</v>
      </c>
      <c r="Q82" s="365">
        <f t="shared" si="59"/>
        <v>446834088.66037214</v>
      </c>
      <c r="R82" s="365">
        <f t="shared" si="60"/>
        <v>467299089.92101717</v>
      </c>
      <c r="S82" s="365">
        <f t="shared" si="61"/>
        <v>4083996.695499301</v>
      </c>
      <c r="T82" s="365">
        <f t="shared" si="62"/>
        <v>405020813.81589752</v>
      </c>
      <c r="U82" s="365">
        <f t="shared" si="63"/>
        <v>423570767.0886656</v>
      </c>
      <c r="V82" s="365">
        <f t="shared" si="64"/>
        <v>3701829.6213514805</v>
      </c>
      <c r="W82" s="365">
        <f t="shared" si="66"/>
        <v>7785826.3168507814</v>
      </c>
      <c r="Y82" s="361"/>
      <c r="AA82" s="361"/>
      <c r="AB82" s="362"/>
      <c r="AC82" s="362"/>
      <c r="AD82" s="362"/>
      <c r="AE82" s="362"/>
      <c r="AF82" s="362"/>
      <c r="AG82" s="361"/>
    </row>
    <row r="83" spans="2:33" s="355" customFormat="1" ht="12" x14ac:dyDescent="0.2">
      <c r="B83" s="356" t="s">
        <v>794</v>
      </c>
      <c r="C83" s="483">
        <v>105373</v>
      </c>
      <c r="D83" s="485">
        <v>42</v>
      </c>
      <c r="E83" s="357">
        <v>10557000</v>
      </c>
      <c r="F83" s="358">
        <f t="shared" si="55"/>
        <v>5.4939850336269691E-2</v>
      </c>
      <c r="G83" s="357">
        <v>11137000</v>
      </c>
      <c r="H83" s="359">
        <v>0.03</v>
      </c>
      <c r="I83" s="360">
        <f t="shared" si="56"/>
        <v>11471110</v>
      </c>
      <c r="J83" s="359">
        <v>0.05</v>
      </c>
      <c r="K83" s="360">
        <f>+(G83*J83)+G83</f>
        <v>11693850</v>
      </c>
      <c r="L83" s="476">
        <v>12</v>
      </c>
      <c r="M83" s="473">
        <v>106081434.72892371</v>
      </c>
      <c r="N83" s="476">
        <v>13</v>
      </c>
      <c r="O83" s="473">
        <v>114008814</v>
      </c>
      <c r="P83" s="497">
        <f t="shared" si="58"/>
        <v>220090248.72892371</v>
      </c>
      <c r="Q83" s="497">
        <f t="shared" si="59"/>
        <v>100556856.10426934</v>
      </c>
      <c r="R83" s="497">
        <f t="shared" si="60"/>
        <v>105162360.11384487</v>
      </c>
      <c r="S83" s="497">
        <f t="shared" si="61"/>
        <v>919074.61507883668</v>
      </c>
      <c r="T83" s="497">
        <f t="shared" si="62"/>
        <v>108071388.11152017</v>
      </c>
      <c r="U83" s="497">
        <f t="shared" si="63"/>
        <v>113021057.6870278</v>
      </c>
      <c r="V83" s="497">
        <f t="shared" si="64"/>
        <v>987756.3129722029</v>
      </c>
      <c r="W83" s="497">
        <f t="shared" si="66"/>
        <v>1906830.9280510396</v>
      </c>
      <c r="Y83" s="361"/>
      <c r="AA83" s="361"/>
      <c r="AB83" s="362"/>
      <c r="AC83" s="362"/>
      <c r="AD83" s="362"/>
      <c r="AE83" s="362"/>
      <c r="AF83" s="362"/>
      <c r="AG83" s="361"/>
    </row>
    <row r="84" spans="2:33" s="355" customFormat="1" ht="12" customHeight="1" x14ac:dyDescent="0.2">
      <c r="B84" s="356" t="s">
        <v>795</v>
      </c>
      <c r="C84" s="484"/>
      <c r="D84" s="486"/>
      <c r="E84" s="357">
        <v>10191000</v>
      </c>
      <c r="F84" s="358">
        <f t="shared" si="55"/>
        <v>5.4950446472377568E-2</v>
      </c>
      <c r="G84" s="357">
        <v>10751000</v>
      </c>
      <c r="H84" s="359">
        <v>0.03</v>
      </c>
      <c r="I84" s="360">
        <f t="shared" si="56"/>
        <v>11073530</v>
      </c>
      <c r="J84" s="359">
        <v>0.05</v>
      </c>
      <c r="K84" s="360">
        <f t="shared" si="57"/>
        <v>11288550</v>
      </c>
      <c r="L84" s="495"/>
      <c r="M84" s="496"/>
      <c r="N84" s="495">
        <v>13</v>
      </c>
      <c r="O84" s="495"/>
      <c r="P84" s="498"/>
      <c r="Q84" s="498"/>
      <c r="R84" s="498"/>
      <c r="S84" s="498"/>
      <c r="T84" s="498"/>
      <c r="U84" s="498"/>
      <c r="V84" s="498"/>
      <c r="W84" s="498"/>
      <c r="Y84" s="361"/>
      <c r="AA84" s="361"/>
      <c r="AB84" s="362"/>
      <c r="AC84" s="362"/>
      <c r="AD84" s="362"/>
      <c r="AE84" s="362"/>
      <c r="AF84" s="362"/>
      <c r="AG84" s="361"/>
    </row>
    <row r="85" spans="2:33" s="355" customFormat="1" ht="12" x14ac:dyDescent="0.2">
      <c r="B85" s="390" t="s">
        <v>796</v>
      </c>
      <c r="C85" s="356">
        <v>110671</v>
      </c>
      <c r="D85" s="363">
        <v>40</v>
      </c>
      <c r="E85" s="391">
        <v>7600000</v>
      </c>
      <c r="F85" s="358">
        <f t="shared" si="55"/>
        <v>0</v>
      </c>
      <c r="G85" s="357">
        <v>7600000</v>
      </c>
      <c r="H85" s="359">
        <v>0.03</v>
      </c>
      <c r="I85" s="360">
        <f t="shared" si="56"/>
        <v>7828000</v>
      </c>
      <c r="J85" s="359">
        <v>0.05</v>
      </c>
      <c r="K85" s="360">
        <f t="shared" si="57"/>
        <v>7980000</v>
      </c>
      <c r="L85" s="363">
        <v>10</v>
      </c>
      <c r="M85" s="357">
        <v>57000000</v>
      </c>
      <c r="N85" s="363">
        <v>19</v>
      </c>
      <c r="O85" s="357">
        <v>111375126.1961657</v>
      </c>
      <c r="P85" s="365">
        <f>+M85+O85</f>
        <v>168375126.19616568</v>
      </c>
      <c r="Q85" s="365">
        <f>M85/(1+F85)</f>
        <v>57000000</v>
      </c>
      <c r="R85" s="365">
        <f t="shared" si="60"/>
        <v>59610600</v>
      </c>
      <c r="S85" s="365">
        <f>M85-R85</f>
        <v>-2610600</v>
      </c>
      <c r="T85" s="365">
        <f>O85/(1+F85)</f>
        <v>111375126.1961657</v>
      </c>
      <c r="U85" s="365">
        <f t="shared" si="63"/>
        <v>116476106.97595009</v>
      </c>
      <c r="V85" s="365">
        <f>O85-U85</f>
        <v>-5100980.7797843963</v>
      </c>
      <c r="W85" s="365">
        <f>S85+V85</f>
        <v>-7711580.7797843963</v>
      </c>
      <c r="Y85" s="361"/>
      <c r="AA85" s="361"/>
      <c r="AB85" s="362"/>
      <c r="AC85" s="362"/>
      <c r="AD85" s="362"/>
      <c r="AE85" s="362"/>
      <c r="AF85" s="362"/>
      <c r="AG85" s="361"/>
    </row>
    <row r="86" spans="2:33" s="355" customFormat="1" ht="12" x14ac:dyDescent="0.2">
      <c r="B86" s="390" t="s">
        <v>465</v>
      </c>
      <c r="C86" s="356">
        <v>108689</v>
      </c>
      <c r="D86" s="363">
        <v>112</v>
      </c>
      <c r="E86" s="391">
        <v>17435000</v>
      </c>
      <c r="F86" s="358">
        <f t="shared" si="55"/>
        <v>5.4946945798680868E-2</v>
      </c>
      <c r="G86" s="357">
        <v>18393000</v>
      </c>
      <c r="H86" s="359">
        <v>0.03</v>
      </c>
      <c r="I86" s="360">
        <f t="shared" si="56"/>
        <v>18944790</v>
      </c>
      <c r="J86" s="359">
        <v>0.05</v>
      </c>
      <c r="K86" s="360">
        <f t="shared" si="57"/>
        <v>19312650</v>
      </c>
      <c r="L86" s="363">
        <v>14</v>
      </c>
      <c r="M86" s="357">
        <v>114956000</v>
      </c>
      <c r="N86" s="363">
        <v>10</v>
      </c>
      <c r="O86" s="357">
        <v>92241600</v>
      </c>
      <c r="P86" s="365">
        <f>+M86+O86</f>
        <v>207197600</v>
      </c>
      <c r="Q86" s="365">
        <f>M86/(1+F86)</f>
        <v>108968513.02125809</v>
      </c>
      <c r="R86" s="365">
        <f t="shared" si="60"/>
        <v>113959270.9176317</v>
      </c>
      <c r="S86" s="365">
        <f>M86-R86</f>
        <v>996729.08236829937</v>
      </c>
      <c r="T86" s="365">
        <f>O86/(1+F86)</f>
        <v>87437193.280052185</v>
      </c>
      <c r="U86" s="365">
        <f t="shared" si="63"/>
        <v>91441816.732278571</v>
      </c>
      <c r="V86" s="365">
        <f>O86-U86</f>
        <v>799783.26772142947</v>
      </c>
      <c r="W86" s="365">
        <f t="shared" si="65"/>
        <v>1796512.3500897288</v>
      </c>
      <c r="Y86" s="361"/>
      <c r="AA86" s="361"/>
      <c r="AB86" s="362"/>
      <c r="AC86" s="362"/>
      <c r="AD86" s="362"/>
      <c r="AE86" s="362"/>
      <c r="AF86" s="362"/>
      <c r="AG86" s="361"/>
    </row>
    <row r="87" spans="2:33" s="349" customFormat="1" ht="12.75" x14ac:dyDescent="0.2">
      <c r="B87" s="392" t="s">
        <v>504</v>
      </c>
      <c r="C87" s="393"/>
      <c r="D87" s="394"/>
      <c r="E87" s="395"/>
      <c r="F87" s="386"/>
      <c r="G87" s="396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Y87" s="371"/>
      <c r="AA87" s="371"/>
      <c r="AB87" s="372"/>
      <c r="AC87" s="372"/>
      <c r="AD87" s="372"/>
      <c r="AE87" s="372"/>
      <c r="AF87" s="372"/>
      <c r="AG87" s="371"/>
    </row>
    <row r="88" spans="2:33" s="349" customFormat="1" ht="12" x14ac:dyDescent="0.2">
      <c r="B88" s="398" t="s">
        <v>450</v>
      </c>
      <c r="C88" s="356">
        <v>1046</v>
      </c>
      <c r="D88" s="363">
        <v>26</v>
      </c>
      <c r="E88" s="399">
        <v>6297000</v>
      </c>
      <c r="F88" s="358">
        <f t="shared" ref="F88:F100" si="67">(G88/E88)-1</f>
        <v>5.4946800063522261E-2</v>
      </c>
      <c r="G88" s="380">
        <v>6643000</v>
      </c>
      <c r="H88" s="359">
        <v>0.03</v>
      </c>
      <c r="I88" s="360">
        <f t="shared" ref="I88:I98" si="68">+(G88*H88)+G88</f>
        <v>6842290</v>
      </c>
      <c r="J88" s="359">
        <v>0.05</v>
      </c>
      <c r="K88" s="360">
        <f t="shared" ref="K88:K98" si="69">+(G88*J88)+G88</f>
        <v>6975150</v>
      </c>
      <c r="L88" s="363">
        <v>45</v>
      </c>
      <c r="M88" s="357">
        <v>267456299</v>
      </c>
      <c r="N88" s="363">
        <v>46</v>
      </c>
      <c r="O88" s="357">
        <v>274099300</v>
      </c>
      <c r="P88" s="365">
        <f t="shared" ref="P88:P95" si="70">+M88+O88</f>
        <v>541555599</v>
      </c>
      <c r="Q88" s="365">
        <f t="shared" ref="Q88:Q95" si="71">M88/(1+F88)</f>
        <v>253525864.03778416</v>
      </c>
      <c r="R88" s="365">
        <f t="shared" si="60"/>
        <v>265137348.61071467</v>
      </c>
      <c r="S88" s="365">
        <f t="shared" ref="S88:S95" si="72">M88-R88</f>
        <v>2318950.389285326</v>
      </c>
      <c r="T88" s="365">
        <f t="shared" ref="T88:T95" si="73">O88/(1+F88)</f>
        <v>259822864.98569924</v>
      </c>
      <c r="U88" s="365">
        <f t="shared" si="63"/>
        <v>271722752.20204425</v>
      </c>
      <c r="V88" s="365">
        <f t="shared" ref="V88:V95" si="74">O88-U88</f>
        <v>2376547.7979557514</v>
      </c>
      <c r="W88" s="365">
        <f t="shared" ref="W88:W91" si="75">S88+V88</f>
        <v>4695498.1872410774</v>
      </c>
      <c r="Y88" s="371"/>
      <c r="AA88" s="371"/>
      <c r="AB88" s="372"/>
      <c r="AC88" s="372"/>
      <c r="AD88" s="372"/>
      <c r="AE88" s="372"/>
      <c r="AF88" s="372"/>
      <c r="AG88" s="371"/>
    </row>
    <row r="89" spans="2:33" s="355" customFormat="1" ht="12" x14ac:dyDescent="0.2">
      <c r="B89" s="398" t="s">
        <v>451</v>
      </c>
      <c r="C89" s="356">
        <v>8663</v>
      </c>
      <c r="D89" s="363">
        <v>24</v>
      </c>
      <c r="E89" s="399">
        <v>10966000</v>
      </c>
      <c r="F89" s="358">
        <f t="shared" si="67"/>
        <v>5.4988145175998593E-2</v>
      </c>
      <c r="G89" s="380">
        <v>11569000</v>
      </c>
      <c r="H89" s="359">
        <v>0.03</v>
      </c>
      <c r="I89" s="360">
        <f t="shared" si="68"/>
        <v>11916070</v>
      </c>
      <c r="J89" s="359">
        <v>0.05</v>
      </c>
      <c r="K89" s="360">
        <f t="shared" si="69"/>
        <v>12147450</v>
      </c>
      <c r="L89" s="363">
        <v>33</v>
      </c>
      <c r="M89" s="357">
        <v>334864900</v>
      </c>
      <c r="N89" s="363">
        <v>34</v>
      </c>
      <c r="O89" s="357">
        <v>346433900</v>
      </c>
      <c r="P89" s="365">
        <f t="shared" si="70"/>
        <v>681298800</v>
      </c>
      <c r="Q89" s="365">
        <f t="shared" si="71"/>
        <v>317411054.83620018</v>
      </c>
      <c r="R89" s="365">
        <f>($Q89*$R$9)+$Q89</f>
        <v>331948481.14769816</v>
      </c>
      <c r="S89" s="365">
        <f t="shared" si="72"/>
        <v>2916418.852301836</v>
      </c>
      <c r="T89" s="365">
        <f t="shared" si="73"/>
        <v>328377054.83620018</v>
      </c>
      <c r="U89" s="365">
        <f t="shared" si="63"/>
        <v>343416723.94769812</v>
      </c>
      <c r="V89" s="365">
        <f t="shared" si="74"/>
        <v>3017176.0523018837</v>
      </c>
      <c r="W89" s="365">
        <f t="shared" si="75"/>
        <v>5933594.9046037197</v>
      </c>
      <c r="Y89" s="361"/>
      <c r="AA89" s="361"/>
      <c r="AB89" s="362"/>
      <c r="AC89" s="362"/>
      <c r="AD89" s="362"/>
      <c r="AE89" s="362"/>
      <c r="AF89" s="362"/>
      <c r="AG89" s="361"/>
    </row>
    <row r="90" spans="2:33" s="355" customFormat="1" ht="12" x14ac:dyDescent="0.2">
      <c r="B90" s="400" t="s">
        <v>452</v>
      </c>
      <c r="C90" s="356">
        <v>52218</v>
      </c>
      <c r="D90" s="363">
        <v>22</v>
      </c>
      <c r="E90" s="399">
        <v>8806000</v>
      </c>
      <c r="F90" s="358">
        <f t="shared" si="67"/>
        <v>5.4962525550760866E-2</v>
      </c>
      <c r="G90" s="380">
        <v>9290000</v>
      </c>
      <c r="H90" s="359">
        <v>0.03</v>
      </c>
      <c r="I90" s="360">
        <f t="shared" si="68"/>
        <v>9568700</v>
      </c>
      <c r="J90" s="359">
        <v>0.05</v>
      </c>
      <c r="K90" s="360">
        <f t="shared" si="69"/>
        <v>9754500</v>
      </c>
      <c r="L90" s="363">
        <v>25</v>
      </c>
      <c r="M90" s="357">
        <v>229463000</v>
      </c>
      <c r="N90" s="363">
        <v>28</v>
      </c>
      <c r="O90" s="357">
        <v>255939500</v>
      </c>
      <c r="P90" s="365">
        <f t="shared" si="70"/>
        <v>485402500</v>
      </c>
      <c r="Q90" s="365">
        <f t="shared" si="71"/>
        <v>217508200</v>
      </c>
      <c r="R90" s="365">
        <f t="shared" si="60"/>
        <v>227470075.56</v>
      </c>
      <c r="S90" s="365">
        <f t="shared" si="72"/>
        <v>1992924.4399999976</v>
      </c>
      <c r="T90" s="365">
        <f t="shared" si="73"/>
        <v>242605300</v>
      </c>
      <c r="U90" s="365">
        <f t="shared" si="63"/>
        <v>253716622.74000001</v>
      </c>
      <c r="V90" s="365">
        <f t="shared" si="74"/>
        <v>2222877.2599999905</v>
      </c>
      <c r="W90" s="365">
        <f t="shared" si="75"/>
        <v>4215801.6999999881</v>
      </c>
      <c r="Y90" s="361"/>
      <c r="AA90" s="361"/>
      <c r="AB90" s="362"/>
      <c r="AC90" s="362"/>
      <c r="AD90" s="362"/>
      <c r="AE90" s="362"/>
      <c r="AF90" s="362"/>
      <c r="AG90" s="361"/>
    </row>
    <row r="91" spans="2:33" s="355" customFormat="1" ht="12" x14ac:dyDescent="0.2">
      <c r="B91" s="398" t="s">
        <v>456</v>
      </c>
      <c r="C91" s="356">
        <v>53012</v>
      </c>
      <c r="D91" s="363">
        <v>50</v>
      </c>
      <c r="E91" s="399">
        <v>15347000</v>
      </c>
      <c r="F91" s="358">
        <f t="shared" si="67"/>
        <v>5.4994461458265365E-2</v>
      </c>
      <c r="G91" s="380">
        <v>16191000</v>
      </c>
      <c r="H91" s="359">
        <v>0.03</v>
      </c>
      <c r="I91" s="360">
        <f t="shared" si="68"/>
        <v>16676730</v>
      </c>
      <c r="J91" s="359">
        <v>0.05</v>
      </c>
      <c r="K91" s="360">
        <f t="shared" si="69"/>
        <v>17000550</v>
      </c>
      <c r="L91" s="363">
        <v>70</v>
      </c>
      <c r="M91" s="357">
        <v>1003338879.6645743</v>
      </c>
      <c r="N91" s="363">
        <v>77</v>
      </c>
      <c r="O91" s="357">
        <v>1113180650</v>
      </c>
      <c r="P91" s="365">
        <f t="shared" si="70"/>
        <v>2116519529.6645741</v>
      </c>
      <c r="Q91" s="365">
        <f t="shared" si="71"/>
        <v>951037106.18320191</v>
      </c>
      <c r="R91" s="365">
        <f t="shared" si="60"/>
        <v>994594605.64639258</v>
      </c>
      <c r="S91" s="365">
        <f t="shared" si="72"/>
        <v>8744274.0181816816</v>
      </c>
      <c r="T91" s="365">
        <f t="shared" si="73"/>
        <v>1055153074.8903713</v>
      </c>
      <c r="U91" s="365">
        <f t="shared" si="63"/>
        <v>1103479085.7203503</v>
      </c>
      <c r="V91" s="365">
        <f t="shared" si="74"/>
        <v>9701564.2796497345</v>
      </c>
      <c r="W91" s="365">
        <f t="shared" si="75"/>
        <v>18445838.297831416</v>
      </c>
      <c r="Y91" s="361"/>
      <c r="AA91" s="361"/>
      <c r="AB91" s="362"/>
      <c r="AC91" s="362"/>
      <c r="AD91" s="362"/>
      <c r="AE91" s="362"/>
      <c r="AF91" s="362"/>
      <c r="AG91" s="361"/>
    </row>
    <row r="92" spans="2:33" s="355" customFormat="1" ht="11.25" customHeight="1" x14ac:dyDescent="0.2">
      <c r="B92" s="400" t="s">
        <v>703</v>
      </c>
      <c r="C92" s="356">
        <v>106593</v>
      </c>
      <c r="D92" s="363">
        <v>51</v>
      </c>
      <c r="E92" s="399">
        <v>11142000</v>
      </c>
      <c r="F92" s="358">
        <f t="shared" si="67"/>
        <v>5.4927302100161501E-2</v>
      </c>
      <c r="G92" s="380">
        <v>11754000</v>
      </c>
      <c r="H92" s="359">
        <v>0.03</v>
      </c>
      <c r="I92" s="360">
        <f t="shared" si="68"/>
        <v>12106620</v>
      </c>
      <c r="J92" s="359">
        <v>0.05</v>
      </c>
      <c r="K92" s="360">
        <f t="shared" si="69"/>
        <v>12341700</v>
      </c>
      <c r="L92" s="363">
        <v>40</v>
      </c>
      <c r="M92" s="357">
        <v>402004100</v>
      </c>
      <c r="N92" s="363">
        <v>47</v>
      </c>
      <c r="O92" s="357">
        <v>489547100</v>
      </c>
      <c r="P92" s="365">
        <f t="shared" si="70"/>
        <v>891551200</v>
      </c>
      <c r="Q92" s="365">
        <f t="shared" si="71"/>
        <v>381072799.23430324</v>
      </c>
      <c r="R92" s="365">
        <f t="shared" ref="R92:R112" si="76">($Q92*$R$9)+$Q92</f>
        <v>398525933.43923432</v>
      </c>
      <c r="S92" s="365">
        <f t="shared" si="72"/>
        <v>3478166.5607656837</v>
      </c>
      <c r="T92" s="365">
        <f t="shared" si="73"/>
        <v>464057664.47166926</v>
      </c>
      <c r="U92" s="365">
        <f t="shared" ref="U92:U112" si="77">($T92*$U$9)+$T92</f>
        <v>485311505.50447172</v>
      </c>
      <c r="V92" s="365">
        <f t="shared" si="74"/>
        <v>4235594.4955282807</v>
      </c>
      <c r="W92" s="365">
        <f t="shared" ref="W92" si="78">S92+V92</f>
        <v>7713761.0562939644</v>
      </c>
      <c r="Y92" s="361"/>
      <c r="AA92" s="361"/>
      <c r="AB92" s="362"/>
      <c r="AC92" s="362"/>
      <c r="AD92" s="362"/>
      <c r="AE92" s="362"/>
      <c r="AF92" s="362"/>
      <c r="AG92" s="361"/>
    </row>
    <row r="93" spans="2:33" s="355" customFormat="1" ht="12" x14ac:dyDescent="0.2">
      <c r="B93" s="400" t="s">
        <v>457</v>
      </c>
      <c r="C93" s="356">
        <v>102758</v>
      </c>
      <c r="D93" s="363">
        <v>45</v>
      </c>
      <c r="E93" s="399">
        <v>10966000</v>
      </c>
      <c r="F93" s="358">
        <f t="shared" si="67"/>
        <v>5.4988145175998593E-2</v>
      </c>
      <c r="G93" s="380">
        <v>11569000</v>
      </c>
      <c r="H93" s="359">
        <v>0.03</v>
      </c>
      <c r="I93" s="360">
        <f t="shared" si="68"/>
        <v>11916070</v>
      </c>
      <c r="J93" s="359">
        <v>0.05</v>
      </c>
      <c r="K93" s="360">
        <f t="shared" si="69"/>
        <v>12147450</v>
      </c>
      <c r="L93" s="363">
        <v>48</v>
      </c>
      <c r="M93" s="357">
        <v>481017100</v>
      </c>
      <c r="N93" s="363">
        <v>52</v>
      </c>
      <c r="O93" s="357">
        <v>527293100</v>
      </c>
      <c r="P93" s="365">
        <f t="shared" si="70"/>
        <v>1008310200</v>
      </c>
      <c r="Q93" s="365">
        <f t="shared" si="71"/>
        <v>455945502.51534271</v>
      </c>
      <c r="R93" s="365">
        <f t="shared" si="76"/>
        <v>476827806.53054541</v>
      </c>
      <c r="S93" s="365">
        <f t="shared" si="72"/>
        <v>4189293.4694545865</v>
      </c>
      <c r="T93" s="365">
        <f t="shared" si="73"/>
        <v>499809502.51534271</v>
      </c>
      <c r="U93" s="365">
        <f t="shared" si="77"/>
        <v>522700777.7305454</v>
      </c>
      <c r="V93" s="365">
        <f t="shared" si="74"/>
        <v>4592322.2694545984</v>
      </c>
      <c r="W93" s="365">
        <f t="shared" ref="W93" si="79">S93+V93</f>
        <v>8781615.7389091849</v>
      </c>
      <c r="Y93" s="361"/>
      <c r="AA93" s="361"/>
      <c r="AB93" s="362"/>
      <c r="AC93" s="362"/>
      <c r="AD93" s="362"/>
      <c r="AE93" s="362"/>
      <c r="AF93" s="362"/>
      <c r="AG93" s="361"/>
    </row>
    <row r="94" spans="2:33" s="355" customFormat="1" ht="12" x14ac:dyDescent="0.2">
      <c r="B94" s="401" t="s">
        <v>458</v>
      </c>
      <c r="C94" s="356">
        <v>104194</v>
      </c>
      <c r="D94" s="363">
        <v>50</v>
      </c>
      <c r="E94" s="399">
        <v>12899000</v>
      </c>
      <c r="F94" s="358">
        <f t="shared" si="67"/>
        <v>5.4965501201643452E-2</v>
      </c>
      <c r="G94" s="380">
        <v>13608000</v>
      </c>
      <c r="H94" s="359">
        <v>0.03</v>
      </c>
      <c r="I94" s="360">
        <f t="shared" si="68"/>
        <v>14016240</v>
      </c>
      <c r="J94" s="359">
        <v>0.05</v>
      </c>
      <c r="K94" s="360">
        <f t="shared" si="69"/>
        <v>14288400</v>
      </c>
      <c r="L94" s="363">
        <v>37</v>
      </c>
      <c r="M94" s="357">
        <v>454507200</v>
      </c>
      <c r="N94" s="363">
        <v>21</v>
      </c>
      <c r="O94" s="357">
        <v>255830400</v>
      </c>
      <c r="P94" s="365">
        <f t="shared" si="70"/>
        <v>710337600</v>
      </c>
      <c r="Q94" s="365">
        <f t="shared" si="71"/>
        <v>430826600.00000006</v>
      </c>
      <c r="R94" s="365">
        <f t="shared" si="76"/>
        <v>450558458.28000009</v>
      </c>
      <c r="S94" s="385">
        <f t="shared" si="72"/>
        <v>3948741.7199999094</v>
      </c>
      <c r="T94" s="365">
        <f t="shared" si="73"/>
        <v>242501200.00000003</v>
      </c>
      <c r="U94" s="365">
        <f t="shared" si="77"/>
        <v>253607754.96000004</v>
      </c>
      <c r="V94" s="365">
        <f t="shared" si="74"/>
        <v>2222645.0399999619</v>
      </c>
      <c r="W94" s="365">
        <f t="shared" ref="W94:W99" si="80">S94+V94</f>
        <v>6171386.7599998713</v>
      </c>
      <c r="Y94" s="361"/>
      <c r="AA94" s="361"/>
      <c r="AB94" s="362"/>
      <c r="AC94" s="362"/>
      <c r="AD94" s="362"/>
      <c r="AE94" s="362"/>
      <c r="AF94" s="362"/>
      <c r="AG94" s="361"/>
    </row>
    <row r="95" spans="2:33" s="355" customFormat="1" ht="15" customHeight="1" x14ac:dyDescent="0.2">
      <c r="B95" s="398" t="s">
        <v>797</v>
      </c>
      <c r="C95" s="356">
        <v>105155</v>
      </c>
      <c r="D95" s="363">
        <v>50</v>
      </c>
      <c r="E95" s="399">
        <v>16778000</v>
      </c>
      <c r="F95" s="358">
        <f t="shared" si="67"/>
        <v>5.4952914530933317E-2</v>
      </c>
      <c r="G95" s="380">
        <v>17700000</v>
      </c>
      <c r="H95" s="359">
        <v>0.03</v>
      </c>
      <c r="I95" s="360">
        <f t="shared" si="68"/>
        <v>18231000</v>
      </c>
      <c r="J95" s="359">
        <v>0.05</v>
      </c>
      <c r="K95" s="360">
        <f t="shared" si="69"/>
        <v>18585000</v>
      </c>
      <c r="L95" s="476">
        <v>9</v>
      </c>
      <c r="M95" s="468">
        <v>118745500</v>
      </c>
      <c r="N95" s="476">
        <v>19</v>
      </c>
      <c r="O95" s="468">
        <v>275817400</v>
      </c>
      <c r="P95" s="464">
        <f t="shared" si="70"/>
        <v>394562900</v>
      </c>
      <c r="Q95" s="464">
        <f t="shared" si="71"/>
        <v>112559999.94350283</v>
      </c>
      <c r="R95" s="464">
        <f>($Q95*$R$9)+$Q95</f>
        <v>117715247.94091526</v>
      </c>
      <c r="S95" s="464">
        <f t="shared" si="72"/>
        <v>1030252.0590847433</v>
      </c>
      <c r="T95" s="464">
        <f t="shared" si="73"/>
        <v>261449962.55367231</v>
      </c>
      <c r="U95" s="464">
        <f>($T95*$U$9)+$T95</f>
        <v>273424370.8386305</v>
      </c>
      <c r="V95" s="464">
        <f t="shared" si="74"/>
        <v>2393029.1613695025</v>
      </c>
      <c r="W95" s="464">
        <f>S95+V95</f>
        <v>3423281.2204542458</v>
      </c>
      <c r="Y95" s="361"/>
      <c r="AA95" s="361"/>
      <c r="AB95" s="362"/>
      <c r="AC95" s="362"/>
      <c r="AD95" s="362"/>
      <c r="AE95" s="362"/>
      <c r="AF95" s="362"/>
      <c r="AG95" s="361"/>
    </row>
    <row r="96" spans="2:33" s="355" customFormat="1" ht="12" x14ac:dyDescent="0.2">
      <c r="B96" s="398" t="s">
        <v>798</v>
      </c>
      <c r="C96" s="356">
        <v>105155</v>
      </c>
      <c r="D96" s="363">
        <v>50</v>
      </c>
      <c r="E96" s="399">
        <v>16778000</v>
      </c>
      <c r="F96" s="358">
        <f t="shared" si="67"/>
        <v>0</v>
      </c>
      <c r="G96" s="380">
        <v>16778000</v>
      </c>
      <c r="H96" s="359">
        <v>0.03</v>
      </c>
      <c r="I96" s="360">
        <f t="shared" si="68"/>
        <v>17281340</v>
      </c>
      <c r="J96" s="359">
        <v>0.05</v>
      </c>
      <c r="K96" s="360">
        <f t="shared" si="69"/>
        <v>17616900</v>
      </c>
      <c r="L96" s="477"/>
      <c r="M96" s="472"/>
      <c r="N96" s="477"/>
      <c r="O96" s="472"/>
      <c r="P96" s="465"/>
      <c r="Q96" s="465"/>
      <c r="R96" s="465"/>
      <c r="S96" s="465"/>
      <c r="T96" s="465"/>
      <c r="U96" s="465"/>
      <c r="V96" s="465"/>
      <c r="W96" s="465"/>
      <c r="Y96" s="361"/>
      <c r="AA96" s="361"/>
      <c r="AB96" s="362"/>
      <c r="AC96" s="362"/>
      <c r="AD96" s="362"/>
      <c r="AE96" s="362"/>
      <c r="AF96" s="362"/>
      <c r="AG96" s="361"/>
    </row>
    <row r="97" spans="2:33" s="355" customFormat="1" ht="12" x14ac:dyDescent="0.2">
      <c r="B97" s="398" t="s">
        <v>725</v>
      </c>
      <c r="C97" s="356">
        <v>105155</v>
      </c>
      <c r="D97" s="363">
        <v>50</v>
      </c>
      <c r="E97" s="399">
        <v>16454000</v>
      </c>
      <c r="F97" s="358">
        <f t="shared" si="67"/>
        <v>0</v>
      </c>
      <c r="G97" s="380">
        <v>16454000</v>
      </c>
      <c r="H97" s="359">
        <v>0.03</v>
      </c>
      <c r="I97" s="360">
        <f t="shared" si="68"/>
        <v>16947620</v>
      </c>
      <c r="J97" s="359">
        <v>0.05</v>
      </c>
      <c r="K97" s="360">
        <f t="shared" si="69"/>
        <v>17276700</v>
      </c>
      <c r="L97" s="487"/>
      <c r="M97" s="469"/>
      <c r="N97" s="487"/>
      <c r="O97" s="469"/>
      <c r="P97" s="467"/>
      <c r="Q97" s="467"/>
      <c r="R97" s="467"/>
      <c r="S97" s="467"/>
      <c r="T97" s="467"/>
      <c r="U97" s="467"/>
      <c r="V97" s="467"/>
      <c r="W97" s="467"/>
      <c r="Y97" s="361"/>
      <c r="AA97" s="361"/>
      <c r="AB97" s="362"/>
      <c r="AC97" s="362"/>
      <c r="AD97" s="362"/>
      <c r="AE97" s="362"/>
      <c r="AF97" s="362"/>
      <c r="AG97" s="361"/>
    </row>
    <row r="98" spans="2:33" s="355" customFormat="1" ht="12" x14ac:dyDescent="0.2">
      <c r="B98" s="400" t="s">
        <v>556</v>
      </c>
      <c r="C98" s="356">
        <v>105077</v>
      </c>
      <c r="D98" s="363">
        <v>52</v>
      </c>
      <c r="E98" s="399">
        <v>13004000</v>
      </c>
      <c r="F98" s="358">
        <f t="shared" si="67"/>
        <v>5.4983082128575722E-2</v>
      </c>
      <c r="G98" s="380">
        <v>13719000</v>
      </c>
      <c r="H98" s="359">
        <v>0.03</v>
      </c>
      <c r="I98" s="360">
        <f t="shared" si="68"/>
        <v>14130570</v>
      </c>
      <c r="J98" s="359">
        <v>0.05</v>
      </c>
      <c r="K98" s="360">
        <f t="shared" si="69"/>
        <v>14404950</v>
      </c>
      <c r="L98" s="363">
        <v>0</v>
      </c>
      <c r="M98" s="357">
        <v>0</v>
      </c>
      <c r="N98" s="363">
        <v>5</v>
      </c>
      <c r="O98" s="357">
        <v>68595000</v>
      </c>
      <c r="P98" s="365">
        <f>+M98+O98</f>
        <v>68595000</v>
      </c>
      <c r="Q98" s="365">
        <f>M98/(1+F98)</f>
        <v>0</v>
      </c>
      <c r="R98" s="365">
        <f>($Q98*$R$9)+$Q98</f>
        <v>0</v>
      </c>
      <c r="S98" s="365">
        <f>M98-R98</f>
        <v>0</v>
      </c>
      <c r="T98" s="365">
        <f>O98/(1+F98)</f>
        <v>65020000.000000007</v>
      </c>
      <c r="U98" s="365">
        <f t="shared" si="77"/>
        <v>67997916.000000015</v>
      </c>
      <c r="V98" s="365">
        <f>O98-U98</f>
        <v>597083.9999999851</v>
      </c>
      <c r="W98" s="365">
        <f t="shared" si="80"/>
        <v>597083.9999999851</v>
      </c>
      <c r="Y98" s="361"/>
      <c r="AA98" s="361"/>
      <c r="AB98" s="362"/>
      <c r="AC98" s="362"/>
      <c r="AD98" s="362"/>
      <c r="AE98" s="362"/>
      <c r="AF98" s="362"/>
      <c r="AG98" s="361"/>
    </row>
    <row r="99" spans="2:33" s="355" customFormat="1" ht="12" x14ac:dyDescent="0.2">
      <c r="B99" s="398" t="s">
        <v>722</v>
      </c>
      <c r="C99" s="356">
        <v>107942</v>
      </c>
      <c r="D99" s="363">
        <v>40</v>
      </c>
      <c r="E99" s="399">
        <v>11448000</v>
      </c>
      <c r="F99" s="358">
        <f t="shared" si="67"/>
        <v>5.4944095038434559E-2</v>
      </c>
      <c r="G99" s="380">
        <v>12077000</v>
      </c>
      <c r="H99" s="359">
        <v>0.03</v>
      </c>
      <c r="I99" s="360">
        <f t="shared" ref="I99:I100" si="81">+(G99*H99)+G99</f>
        <v>12439310</v>
      </c>
      <c r="J99" s="359">
        <v>0.05</v>
      </c>
      <c r="K99" s="360">
        <f t="shared" ref="K99:K100" si="82">+(G99*J99)+G99</f>
        <v>12680850</v>
      </c>
      <c r="L99" s="363">
        <v>12</v>
      </c>
      <c r="M99" s="357">
        <v>139489350</v>
      </c>
      <c r="N99" s="363">
        <v>12</v>
      </c>
      <c r="O99" s="357">
        <v>139489350</v>
      </c>
      <c r="P99" s="365">
        <f>+M99+O99</f>
        <v>278978700</v>
      </c>
      <c r="Q99" s="365">
        <f>M99/(1+F99)</f>
        <v>132224400.00000001</v>
      </c>
      <c r="R99" s="365">
        <f t="shared" si="76"/>
        <v>138280277.52000001</v>
      </c>
      <c r="S99" s="365">
        <f>M99-R99</f>
        <v>1209072.4799999893</v>
      </c>
      <c r="T99" s="365">
        <f>O99/(1+F99)</f>
        <v>132224400.00000001</v>
      </c>
      <c r="U99" s="365">
        <f t="shared" si="77"/>
        <v>138280277.52000001</v>
      </c>
      <c r="V99" s="365">
        <f>O99-U99</f>
        <v>1209072.4799999893</v>
      </c>
      <c r="W99" s="365">
        <f t="shared" si="80"/>
        <v>2418144.9599999785</v>
      </c>
      <c r="Y99" s="361"/>
      <c r="AA99" s="361"/>
      <c r="AB99" s="362"/>
      <c r="AC99" s="362"/>
      <c r="AD99" s="362"/>
      <c r="AE99" s="362"/>
      <c r="AG99" s="361"/>
    </row>
    <row r="100" spans="2:33" s="355" customFormat="1" ht="12" x14ac:dyDescent="0.2">
      <c r="B100" s="398" t="s">
        <v>557</v>
      </c>
      <c r="C100" s="356">
        <v>105642</v>
      </c>
      <c r="D100" s="363">
        <v>112</v>
      </c>
      <c r="E100" s="399">
        <v>13004000</v>
      </c>
      <c r="F100" s="358">
        <f t="shared" si="67"/>
        <v>5.4983082128575722E-2</v>
      </c>
      <c r="G100" s="380">
        <v>13719000</v>
      </c>
      <c r="H100" s="359">
        <v>0.03</v>
      </c>
      <c r="I100" s="360">
        <f t="shared" si="81"/>
        <v>14130570</v>
      </c>
      <c r="J100" s="359">
        <v>0.05</v>
      </c>
      <c r="K100" s="360">
        <f t="shared" si="82"/>
        <v>14404950</v>
      </c>
      <c r="L100" s="363">
        <v>9</v>
      </c>
      <c r="M100" s="357">
        <v>100889250</v>
      </c>
      <c r="N100" s="363">
        <v>18</v>
      </c>
      <c r="O100" s="357">
        <v>222302400</v>
      </c>
      <c r="P100" s="365">
        <f>+M100+O100</f>
        <v>323191650</v>
      </c>
      <c r="Q100" s="365">
        <f>M100/(1+F100)</f>
        <v>95631154.384430364</v>
      </c>
      <c r="R100" s="365">
        <f t="shared" si="76"/>
        <v>100011061.25523728</v>
      </c>
      <c r="S100" s="365">
        <f>M100-R100</f>
        <v>878188.74476271868</v>
      </c>
      <c r="T100" s="365">
        <f>O100/(1+F100)</f>
        <v>210716554.38443038</v>
      </c>
      <c r="U100" s="365">
        <f t="shared" si="77"/>
        <v>220367372.5752373</v>
      </c>
      <c r="V100" s="365">
        <f>O100-U100</f>
        <v>1935027.424762696</v>
      </c>
      <c r="W100" s="365">
        <f t="shared" ref="W100" si="83">S100+V100</f>
        <v>2813216.1695254147</v>
      </c>
      <c r="Y100" s="361"/>
      <c r="AA100" s="361"/>
      <c r="AB100" s="362"/>
      <c r="AC100" s="362"/>
      <c r="AD100" s="362"/>
      <c r="AE100" s="362"/>
      <c r="AG100" s="361"/>
    </row>
    <row r="101" spans="2:33" s="349" customFormat="1" ht="12.75" x14ac:dyDescent="0.2">
      <c r="B101" s="392" t="s">
        <v>448</v>
      </c>
      <c r="C101" s="393"/>
      <c r="D101" s="394"/>
      <c r="E101" s="370"/>
      <c r="F101" s="386"/>
      <c r="G101" s="396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Y101" s="371"/>
      <c r="AA101" s="371"/>
      <c r="AB101" s="372"/>
      <c r="AC101" s="372"/>
      <c r="AD101" s="372"/>
      <c r="AE101" s="372"/>
      <c r="AG101" s="371"/>
    </row>
    <row r="102" spans="2:33" s="355" customFormat="1" ht="12" x14ac:dyDescent="0.2">
      <c r="B102" s="400" t="s">
        <v>466</v>
      </c>
      <c r="C102" s="356">
        <v>11965</v>
      </c>
      <c r="D102" s="363">
        <v>20</v>
      </c>
      <c r="E102" s="402">
        <v>5709000</v>
      </c>
      <c r="F102" s="358">
        <f t="shared" ref="F102:F117" si="84">(G102/E102)-1</f>
        <v>5.4825713785251251E-2</v>
      </c>
      <c r="G102" s="380">
        <v>6022000</v>
      </c>
      <c r="H102" s="359">
        <v>0.03</v>
      </c>
      <c r="I102" s="360">
        <f t="shared" ref="I102:I114" si="85">+(G102*H102)+G102</f>
        <v>6202660</v>
      </c>
      <c r="J102" s="359">
        <v>0.05</v>
      </c>
      <c r="K102" s="360">
        <f t="shared" ref="K102:K114" si="86">+(G102*J102)+G102</f>
        <v>6323100</v>
      </c>
      <c r="L102" s="363">
        <v>37</v>
      </c>
      <c r="M102" s="357">
        <v>207264583.85965651</v>
      </c>
      <c r="N102" s="363">
        <v>40</v>
      </c>
      <c r="O102" s="357">
        <v>225700215.3498359</v>
      </c>
      <c r="P102" s="365">
        <f t="shared" ref="P102:P113" si="87">+M102+O102</f>
        <v>432964799.20949244</v>
      </c>
      <c r="Q102" s="365">
        <f t="shared" ref="Q102:Q112" si="88">M102/(1+F102)</f>
        <v>196491781.67631671</v>
      </c>
      <c r="R102" s="365">
        <f t="shared" si="76"/>
        <v>205491105.27709201</v>
      </c>
      <c r="S102" s="365">
        <f t="shared" ref="S102:S113" si="89">M102-R102</f>
        <v>1773478.582564503</v>
      </c>
      <c r="T102" s="365">
        <f t="shared" ref="T102:T112" si="90">O102/(1+F102)</f>
        <v>213969201.16775379</v>
      </c>
      <c r="U102" s="365">
        <f t="shared" si="77"/>
        <v>223768990.5812369</v>
      </c>
      <c r="V102" s="365">
        <f t="shared" ref="V102:V113" si="91">O102-U102</f>
        <v>1931224.7685990036</v>
      </c>
      <c r="W102" s="365">
        <f t="shared" ref="W102:W112" si="92">S102+V102</f>
        <v>3704703.3511635065</v>
      </c>
      <c r="Y102" s="361"/>
      <c r="AA102" s="361"/>
      <c r="AB102" s="362"/>
      <c r="AC102" s="362"/>
      <c r="AD102" s="362"/>
      <c r="AE102" s="362"/>
      <c r="AG102" s="361"/>
    </row>
    <row r="103" spans="2:33" s="355" customFormat="1" ht="12" x14ac:dyDescent="0.2">
      <c r="B103" s="398" t="s">
        <v>467</v>
      </c>
      <c r="C103" s="356">
        <v>101784</v>
      </c>
      <c r="D103" s="363">
        <v>24</v>
      </c>
      <c r="E103" s="402">
        <v>9658000</v>
      </c>
      <c r="F103" s="358">
        <f t="shared" si="84"/>
        <v>5.4980327189894318E-2</v>
      </c>
      <c r="G103" s="380">
        <v>10189000</v>
      </c>
      <c r="H103" s="359">
        <v>0.03</v>
      </c>
      <c r="I103" s="360">
        <f t="shared" si="85"/>
        <v>10494670</v>
      </c>
      <c r="J103" s="359">
        <v>0.05</v>
      </c>
      <c r="K103" s="360">
        <f t="shared" si="86"/>
        <v>10698450</v>
      </c>
      <c r="L103" s="363">
        <v>33</v>
      </c>
      <c r="M103" s="357">
        <v>292315087.78215581</v>
      </c>
      <c r="N103" s="363">
        <v>34</v>
      </c>
      <c r="O103" s="357">
        <v>327117770.60702127</v>
      </c>
      <c r="P103" s="365">
        <f t="shared" si="87"/>
        <v>619432858.38917708</v>
      </c>
      <c r="Q103" s="365">
        <f t="shared" si="88"/>
        <v>277081079.37972921</v>
      </c>
      <c r="R103" s="365">
        <f t="shared" si="76"/>
        <v>289771392.81532079</v>
      </c>
      <c r="S103" s="365">
        <f t="shared" si="89"/>
        <v>2543694.966835022</v>
      </c>
      <c r="T103" s="365">
        <f t="shared" si="90"/>
        <v>310070019.48401332</v>
      </c>
      <c r="U103" s="365">
        <f t="shared" si="77"/>
        <v>324271226.37638116</v>
      </c>
      <c r="V103" s="365">
        <f t="shared" si="91"/>
        <v>2846544.2306401134</v>
      </c>
      <c r="W103" s="365">
        <f t="shared" si="92"/>
        <v>5390239.1974751353</v>
      </c>
      <c r="Y103" s="361"/>
      <c r="AA103" s="361"/>
      <c r="AB103" s="362"/>
      <c r="AC103" s="362"/>
      <c r="AD103" s="362"/>
      <c r="AE103" s="362"/>
      <c r="AG103" s="361"/>
    </row>
    <row r="104" spans="2:33" s="355" customFormat="1" ht="12" x14ac:dyDescent="0.2">
      <c r="B104" s="400" t="s">
        <v>468</v>
      </c>
      <c r="C104" s="356">
        <v>102637</v>
      </c>
      <c r="D104" s="363">
        <v>25</v>
      </c>
      <c r="E104" s="402">
        <v>8425000</v>
      </c>
      <c r="F104" s="358">
        <f t="shared" si="84"/>
        <v>5.4955489614243236E-2</v>
      </c>
      <c r="G104" s="380">
        <v>8888000</v>
      </c>
      <c r="H104" s="359">
        <v>0.03</v>
      </c>
      <c r="I104" s="360">
        <f t="shared" si="85"/>
        <v>9154640</v>
      </c>
      <c r="J104" s="359">
        <v>0.05</v>
      </c>
      <c r="K104" s="360">
        <f t="shared" si="86"/>
        <v>9332400</v>
      </c>
      <c r="L104" s="363">
        <v>36</v>
      </c>
      <c r="M104" s="357">
        <v>286786186.7120865</v>
      </c>
      <c r="N104" s="363">
        <v>37</v>
      </c>
      <c r="O104" s="357">
        <v>303838526.12516797</v>
      </c>
      <c r="P104" s="365">
        <f t="shared" si="87"/>
        <v>590624712.83725452</v>
      </c>
      <c r="Q104" s="365">
        <f t="shared" si="88"/>
        <v>271846717.26477599</v>
      </c>
      <c r="R104" s="365">
        <f t="shared" si="76"/>
        <v>284297296.91550273</v>
      </c>
      <c r="S104" s="365">
        <f t="shared" si="89"/>
        <v>2488889.7965837717</v>
      </c>
      <c r="T104" s="365">
        <f t="shared" si="90"/>
        <v>288010754.11842263</v>
      </c>
      <c r="U104" s="365">
        <f t="shared" si="77"/>
        <v>301201646.65704638</v>
      </c>
      <c r="V104" s="365">
        <f t="shared" si="91"/>
        <v>2636879.4681215882</v>
      </c>
      <c r="W104" s="365">
        <f t="shared" si="92"/>
        <v>5125769.2647053599</v>
      </c>
      <c r="Y104" s="361"/>
      <c r="AA104" s="361"/>
      <c r="AB104" s="362"/>
      <c r="AC104" s="362"/>
      <c r="AD104" s="362"/>
      <c r="AE104" s="362"/>
      <c r="AG104" s="361"/>
    </row>
    <row r="105" spans="2:33" s="355" customFormat="1" ht="12" x14ac:dyDescent="0.2">
      <c r="B105" s="401" t="s">
        <v>469</v>
      </c>
      <c r="C105" s="356">
        <v>54588</v>
      </c>
      <c r="D105" s="363">
        <v>27</v>
      </c>
      <c r="E105" s="402">
        <v>6739000</v>
      </c>
      <c r="F105" s="358">
        <f t="shared" si="84"/>
        <v>5.4904288470099427E-2</v>
      </c>
      <c r="G105" s="380">
        <v>7109000</v>
      </c>
      <c r="H105" s="359">
        <v>0.03</v>
      </c>
      <c r="I105" s="360">
        <f t="shared" si="85"/>
        <v>7322270</v>
      </c>
      <c r="J105" s="359">
        <v>0.05</v>
      </c>
      <c r="K105" s="360">
        <f t="shared" si="86"/>
        <v>7464450</v>
      </c>
      <c r="L105" s="363">
        <v>15</v>
      </c>
      <c r="M105" s="357">
        <v>93329944.268573955</v>
      </c>
      <c r="N105" s="363">
        <v>26</v>
      </c>
      <c r="O105" s="357">
        <v>174829714.74773517</v>
      </c>
      <c r="P105" s="365">
        <f t="shared" si="87"/>
        <v>268159659.01630914</v>
      </c>
      <c r="Q105" s="365">
        <f t="shared" si="88"/>
        <v>88472428.530865088</v>
      </c>
      <c r="R105" s="365">
        <f t="shared" si="76"/>
        <v>92524465.757578716</v>
      </c>
      <c r="S105" s="365">
        <f t="shared" si="89"/>
        <v>805478.51099523902</v>
      </c>
      <c r="T105" s="365">
        <f t="shared" si="90"/>
        <v>165730404.79462475</v>
      </c>
      <c r="U105" s="365">
        <f t="shared" si="77"/>
        <v>173320857.33421856</v>
      </c>
      <c r="V105" s="365">
        <f t="shared" si="91"/>
        <v>1508857.4135166109</v>
      </c>
      <c r="W105" s="365">
        <f t="shared" si="92"/>
        <v>2314335.9245118499</v>
      </c>
      <c r="Y105" s="361"/>
      <c r="AA105" s="361"/>
      <c r="AB105" s="362"/>
      <c r="AC105" s="362"/>
      <c r="AD105" s="362"/>
      <c r="AE105" s="362"/>
      <c r="AG105" s="361"/>
    </row>
    <row r="106" spans="2:33" s="355" customFormat="1" ht="12" x14ac:dyDescent="0.2">
      <c r="B106" s="398" t="s">
        <v>470</v>
      </c>
      <c r="C106" s="356">
        <v>54931</v>
      </c>
      <c r="D106" s="363">
        <v>25</v>
      </c>
      <c r="E106" s="402">
        <v>7796000</v>
      </c>
      <c r="F106" s="358">
        <f t="shared" si="84"/>
        <v>5.4899948691636835E-2</v>
      </c>
      <c r="G106" s="380">
        <v>8224000</v>
      </c>
      <c r="H106" s="359">
        <v>0.03</v>
      </c>
      <c r="I106" s="360">
        <f t="shared" si="85"/>
        <v>8470720</v>
      </c>
      <c r="J106" s="359">
        <v>0.05</v>
      </c>
      <c r="K106" s="360">
        <f t="shared" si="86"/>
        <v>8635200</v>
      </c>
      <c r="L106" s="363">
        <v>31</v>
      </c>
      <c r="M106" s="357">
        <v>237995356.82380253</v>
      </c>
      <c r="N106" s="363">
        <v>15</v>
      </c>
      <c r="O106" s="357">
        <v>115470736.20361896</v>
      </c>
      <c r="P106" s="365">
        <f t="shared" si="87"/>
        <v>353466093.02742147</v>
      </c>
      <c r="Q106" s="365">
        <f t="shared" si="88"/>
        <v>225609411.69727194</v>
      </c>
      <c r="R106" s="365">
        <f t="shared" si="76"/>
        <v>235942322.75300699</v>
      </c>
      <c r="S106" s="365">
        <f t="shared" si="89"/>
        <v>2053034.070795536</v>
      </c>
      <c r="T106" s="365">
        <f t="shared" si="90"/>
        <v>109461315.59380026</v>
      </c>
      <c r="U106" s="365">
        <f t="shared" si="77"/>
        <v>114474643.84799631</v>
      </c>
      <c r="V106" s="365">
        <f t="shared" si="91"/>
        <v>996092.35562264919</v>
      </c>
      <c r="W106" s="365">
        <f t="shared" si="92"/>
        <v>3049126.4264181852</v>
      </c>
      <c r="Y106" s="361"/>
      <c r="AA106" s="361"/>
      <c r="AB106" s="362"/>
      <c r="AC106" s="362"/>
      <c r="AD106" s="362"/>
      <c r="AE106" s="362"/>
      <c r="AG106" s="361"/>
    </row>
    <row r="107" spans="2:33" s="355" customFormat="1" ht="12" x14ac:dyDescent="0.2">
      <c r="B107" s="398" t="s">
        <v>704</v>
      </c>
      <c r="C107" s="356">
        <v>106553</v>
      </c>
      <c r="D107" s="363">
        <v>26</v>
      </c>
      <c r="E107" s="402">
        <v>7930000</v>
      </c>
      <c r="F107" s="358">
        <f t="shared" si="84"/>
        <v>5.4981084489281296E-2</v>
      </c>
      <c r="G107" s="380">
        <v>8366000</v>
      </c>
      <c r="H107" s="359">
        <v>0.03</v>
      </c>
      <c r="I107" s="360">
        <f t="shared" si="85"/>
        <v>8616980</v>
      </c>
      <c r="J107" s="359">
        <v>0.05</v>
      </c>
      <c r="K107" s="360">
        <f t="shared" si="86"/>
        <v>8784300</v>
      </c>
      <c r="L107" s="363">
        <v>14</v>
      </c>
      <c r="M107" s="357">
        <v>114527849.00762121</v>
      </c>
      <c r="N107" s="363">
        <v>13</v>
      </c>
      <c r="O107" s="357">
        <v>106149002.53508009</v>
      </c>
      <c r="P107" s="365">
        <f t="shared" si="87"/>
        <v>220676851.5427013</v>
      </c>
      <c r="Q107" s="365">
        <f t="shared" si="88"/>
        <v>108559149.25059003</v>
      </c>
      <c r="R107" s="365">
        <f t="shared" si="76"/>
        <v>113531158.28626704</v>
      </c>
      <c r="S107" s="365">
        <f t="shared" si="89"/>
        <v>996690.72135417163</v>
      </c>
      <c r="T107" s="365">
        <f t="shared" si="90"/>
        <v>100616972.28104052</v>
      </c>
      <c r="U107" s="365">
        <f t="shared" si="77"/>
        <v>105225229.61151217</v>
      </c>
      <c r="V107" s="365">
        <f t="shared" si="91"/>
        <v>923772.92356792092</v>
      </c>
      <c r="W107" s="365">
        <f t="shared" ref="W107" si="93">S107+V107</f>
        <v>1920463.6449220926</v>
      </c>
      <c r="Y107" s="361"/>
      <c r="AA107" s="361"/>
      <c r="AB107" s="362"/>
      <c r="AC107" s="362"/>
      <c r="AD107" s="362"/>
      <c r="AE107" s="362"/>
      <c r="AG107" s="361"/>
    </row>
    <row r="108" spans="2:33" s="355" customFormat="1" ht="12" x14ac:dyDescent="0.2">
      <c r="B108" s="390" t="s">
        <v>471</v>
      </c>
      <c r="C108" s="356">
        <v>90827</v>
      </c>
      <c r="D108" s="363">
        <v>25</v>
      </c>
      <c r="E108" s="402">
        <v>8549000</v>
      </c>
      <c r="F108" s="358">
        <f t="shared" si="84"/>
        <v>5.4977190314656754E-2</v>
      </c>
      <c r="G108" s="380">
        <v>9019000</v>
      </c>
      <c r="H108" s="359">
        <v>0.03</v>
      </c>
      <c r="I108" s="360">
        <f t="shared" si="85"/>
        <v>9289570</v>
      </c>
      <c r="J108" s="359">
        <v>0.05</v>
      </c>
      <c r="K108" s="360">
        <f t="shared" si="86"/>
        <v>9469950</v>
      </c>
      <c r="L108" s="363">
        <v>24</v>
      </c>
      <c r="M108" s="357">
        <v>193294483.89425233</v>
      </c>
      <c r="N108" s="363">
        <v>24</v>
      </c>
      <c r="O108" s="357">
        <v>204500612.2227976</v>
      </c>
      <c r="P108" s="365">
        <f t="shared" si="87"/>
        <v>397795096.11704993</v>
      </c>
      <c r="Q108" s="365">
        <f t="shared" si="88"/>
        <v>183221481.62900135</v>
      </c>
      <c r="R108" s="365">
        <f t="shared" si="76"/>
        <v>191613025.48760962</v>
      </c>
      <c r="S108" s="365">
        <f t="shared" si="89"/>
        <v>1681458.4066427052</v>
      </c>
      <c r="T108" s="365">
        <f t="shared" si="90"/>
        <v>193843633.87212515</v>
      </c>
      <c r="U108" s="365">
        <f t="shared" si="77"/>
        <v>202721672.30346847</v>
      </c>
      <c r="V108" s="365">
        <f t="shared" si="91"/>
        <v>1778939.9193291366</v>
      </c>
      <c r="W108" s="365">
        <f t="shared" si="92"/>
        <v>3460398.3259718418</v>
      </c>
      <c r="Y108" s="361"/>
      <c r="AA108" s="361"/>
      <c r="AB108" s="362"/>
      <c r="AC108" s="362"/>
      <c r="AD108" s="362"/>
      <c r="AE108" s="362"/>
      <c r="AG108" s="361"/>
    </row>
    <row r="109" spans="2:33" s="355" customFormat="1" ht="12" x14ac:dyDescent="0.2">
      <c r="B109" s="390" t="s">
        <v>805</v>
      </c>
      <c r="C109" s="356">
        <v>101521</v>
      </c>
      <c r="D109" s="363">
        <v>46</v>
      </c>
      <c r="E109" s="402">
        <v>10406000</v>
      </c>
      <c r="F109" s="358">
        <f t="shared" si="84"/>
        <v>5.4968287526427018E-2</v>
      </c>
      <c r="G109" s="380">
        <v>10978000</v>
      </c>
      <c r="H109" s="359">
        <v>0.03</v>
      </c>
      <c r="I109" s="360">
        <f t="shared" si="85"/>
        <v>11307340</v>
      </c>
      <c r="J109" s="359">
        <v>0.05</v>
      </c>
      <c r="K109" s="360">
        <f t="shared" si="86"/>
        <v>11526900</v>
      </c>
      <c r="L109" s="363">
        <v>26</v>
      </c>
      <c r="M109" s="357">
        <v>256997618.20953369</v>
      </c>
      <c r="N109" s="363">
        <v>50</v>
      </c>
      <c r="O109" s="357">
        <v>501645597.2998054</v>
      </c>
      <c r="P109" s="365">
        <f t="shared" si="87"/>
        <v>758643215.50933909</v>
      </c>
      <c r="Q109" s="365">
        <f t="shared" si="88"/>
        <v>243606960.74771431</v>
      </c>
      <c r="R109" s="365">
        <f t="shared" si="76"/>
        <v>254764159.54995963</v>
      </c>
      <c r="S109" s="365">
        <f t="shared" si="89"/>
        <v>2233458.6595740616</v>
      </c>
      <c r="T109" s="365">
        <f t="shared" si="90"/>
        <v>475507750.54670936</v>
      </c>
      <c r="U109" s="365">
        <f t="shared" si="77"/>
        <v>497286005.52174866</v>
      </c>
      <c r="V109" s="365">
        <f t="shared" si="91"/>
        <v>4359591.7780567408</v>
      </c>
      <c r="W109" s="365">
        <f t="shared" si="92"/>
        <v>6593050.4376308024</v>
      </c>
      <c r="Y109" s="361"/>
      <c r="AA109" s="361"/>
      <c r="AB109" s="362"/>
      <c r="AC109" s="362"/>
      <c r="AD109" s="362"/>
      <c r="AE109" s="362"/>
      <c r="AG109" s="361"/>
    </row>
    <row r="110" spans="2:33" s="355" customFormat="1" ht="12" x14ac:dyDescent="0.2">
      <c r="B110" s="390" t="s">
        <v>473</v>
      </c>
      <c r="C110" s="356">
        <v>102049</v>
      </c>
      <c r="D110" s="363">
        <v>48</v>
      </c>
      <c r="E110" s="402">
        <v>9658000</v>
      </c>
      <c r="F110" s="358">
        <f t="shared" si="84"/>
        <v>5.4980327189894318E-2</v>
      </c>
      <c r="G110" s="380">
        <v>10189000</v>
      </c>
      <c r="H110" s="359">
        <v>0.03</v>
      </c>
      <c r="I110" s="360">
        <f t="shared" si="85"/>
        <v>10494670</v>
      </c>
      <c r="J110" s="359">
        <v>0.05</v>
      </c>
      <c r="K110" s="360">
        <f t="shared" si="86"/>
        <v>10698450</v>
      </c>
      <c r="L110" s="363">
        <v>20</v>
      </c>
      <c r="M110" s="357">
        <v>159163064.49542806</v>
      </c>
      <c r="N110" s="363">
        <v>14</v>
      </c>
      <c r="O110" s="357">
        <v>117106280.91053191</v>
      </c>
      <c r="P110" s="365">
        <f t="shared" si="87"/>
        <v>276269345.40595996</v>
      </c>
      <c r="Q110" s="365">
        <f t="shared" si="88"/>
        <v>150868277.24966574</v>
      </c>
      <c r="R110" s="365">
        <f t="shared" si="76"/>
        <v>157778044.34770042</v>
      </c>
      <c r="S110" s="365">
        <f t="shared" si="89"/>
        <v>1385020.1477276385</v>
      </c>
      <c r="T110" s="365">
        <f t="shared" si="90"/>
        <v>111003284.0351278</v>
      </c>
      <c r="U110" s="365">
        <f t="shared" si="77"/>
        <v>116087234.44393666</v>
      </c>
      <c r="V110" s="365">
        <f t="shared" si="91"/>
        <v>1019046.4665952474</v>
      </c>
      <c r="W110" s="365">
        <f t="shared" si="92"/>
        <v>2404066.6143228859</v>
      </c>
      <c r="Y110" s="361"/>
      <c r="AA110" s="361"/>
      <c r="AB110" s="362"/>
      <c r="AC110" s="362"/>
      <c r="AD110" s="362"/>
      <c r="AE110" s="362"/>
      <c r="AG110" s="361"/>
    </row>
    <row r="111" spans="2:33" s="355" customFormat="1" ht="12" x14ac:dyDescent="0.2">
      <c r="B111" s="390" t="s">
        <v>513</v>
      </c>
      <c r="C111" s="356">
        <v>103307</v>
      </c>
      <c r="D111" s="363">
        <v>45</v>
      </c>
      <c r="E111" s="402">
        <v>9157000</v>
      </c>
      <c r="F111" s="358">
        <f t="shared" si="84"/>
        <v>5.4930654144370372E-2</v>
      </c>
      <c r="G111" s="380">
        <v>9660000</v>
      </c>
      <c r="H111" s="359">
        <v>0.03</v>
      </c>
      <c r="I111" s="360">
        <f t="shared" si="85"/>
        <v>9949800</v>
      </c>
      <c r="J111" s="359">
        <v>0.05</v>
      </c>
      <c r="K111" s="360">
        <f t="shared" si="86"/>
        <v>10143000</v>
      </c>
      <c r="L111" s="363">
        <v>43</v>
      </c>
      <c r="M111" s="357">
        <v>396499428.75739056</v>
      </c>
      <c r="N111" s="363">
        <v>20</v>
      </c>
      <c r="O111" s="357">
        <v>186393079.03221786</v>
      </c>
      <c r="P111" s="365">
        <f t="shared" si="87"/>
        <v>582892507.78960848</v>
      </c>
      <c r="Q111" s="365">
        <f t="shared" si="88"/>
        <v>375853547.52913308</v>
      </c>
      <c r="R111" s="365">
        <f t="shared" si="76"/>
        <v>393067640.00596738</v>
      </c>
      <c r="S111" s="365">
        <f t="shared" si="89"/>
        <v>3431788.7514231801</v>
      </c>
      <c r="T111" s="365">
        <f t="shared" si="90"/>
        <v>176687518.08468106</v>
      </c>
      <c r="U111" s="365">
        <f t="shared" si="77"/>
        <v>184779806.41295946</v>
      </c>
      <c r="V111" s="365">
        <f t="shared" si="91"/>
        <v>1613272.6192584038</v>
      </c>
      <c r="W111" s="365">
        <f t="shared" si="92"/>
        <v>5045061.3706815839</v>
      </c>
      <c r="Y111" s="361"/>
      <c r="AA111" s="361"/>
      <c r="AB111" s="362"/>
      <c r="AC111" s="362"/>
      <c r="AD111" s="362"/>
      <c r="AE111" s="362"/>
      <c r="AG111" s="361"/>
    </row>
    <row r="112" spans="2:33" s="355" customFormat="1" ht="12" x14ac:dyDescent="0.2">
      <c r="B112" s="390" t="s">
        <v>514</v>
      </c>
      <c r="C112" s="356">
        <v>105148</v>
      </c>
      <c r="D112" s="363">
        <v>47</v>
      </c>
      <c r="E112" s="402">
        <v>7936000</v>
      </c>
      <c r="F112" s="358">
        <f t="shared" si="84"/>
        <v>5.4939516129032251E-2</v>
      </c>
      <c r="G112" s="380">
        <v>8372000</v>
      </c>
      <c r="H112" s="359">
        <v>0.03</v>
      </c>
      <c r="I112" s="360">
        <f t="shared" si="85"/>
        <v>8623160</v>
      </c>
      <c r="J112" s="359">
        <v>0.05</v>
      </c>
      <c r="K112" s="360">
        <f t="shared" si="86"/>
        <v>8790600</v>
      </c>
      <c r="L112" s="363">
        <v>23</v>
      </c>
      <c r="M112" s="357">
        <v>102401982.5170006</v>
      </c>
      <c r="N112" s="363">
        <v>43</v>
      </c>
      <c r="O112" s="357">
        <v>205953752.50400621</v>
      </c>
      <c r="P112" s="365">
        <f t="shared" si="87"/>
        <v>308355735.02100682</v>
      </c>
      <c r="Q112" s="365">
        <f t="shared" si="88"/>
        <v>97069055.572732538</v>
      </c>
      <c r="R112" s="365">
        <f t="shared" si="76"/>
        <v>101514818.31796369</v>
      </c>
      <c r="S112" s="365">
        <f t="shared" si="89"/>
        <v>887164.19903691113</v>
      </c>
      <c r="T112" s="365">
        <f t="shared" si="90"/>
        <v>195228019.57379279</v>
      </c>
      <c r="U112" s="365">
        <f t="shared" si="77"/>
        <v>204169462.87027249</v>
      </c>
      <c r="V112" s="365">
        <f t="shared" si="91"/>
        <v>1784289.6337337196</v>
      </c>
      <c r="W112" s="365">
        <f t="shared" si="92"/>
        <v>2671453.8327706307</v>
      </c>
      <c r="Y112" s="361"/>
      <c r="AA112" s="361"/>
      <c r="AB112" s="362"/>
      <c r="AC112" s="362"/>
      <c r="AD112" s="362"/>
      <c r="AE112" s="362"/>
      <c r="AG112" s="361"/>
    </row>
    <row r="113" spans="2:33" s="355" customFormat="1" ht="12" customHeight="1" x14ac:dyDescent="0.2">
      <c r="B113" s="390" t="s">
        <v>593</v>
      </c>
      <c r="C113" s="490">
        <v>104696</v>
      </c>
      <c r="D113" s="363">
        <v>44</v>
      </c>
      <c r="E113" s="402">
        <v>1700</v>
      </c>
      <c r="F113" s="358">
        <f t="shared" si="84"/>
        <v>0</v>
      </c>
      <c r="G113" s="380">
        <v>1700</v>
      </c>
      <c r="H113" s="359">
        <v>0.03</v>
      </c>
      <c r="I113" s="360">
        <f>+(G113*H113)+G113</f>
        <v>1751</v>
      </c>
      <c r="J113" s="359">
        <v>0.05</v>
      </c>
      <c r="K113" s="360">
        <f t="shared" si="86"/>
        <v>1785</v>
      </c>
      <c r="L113" s="476">
        <v>35</v>
      </c>
      <c r="M113" s="468">
        <v>205736369.33334699</v>
      </c>
      <c r="N113" s="476">
        <v>34</v>
      </c>
      <c r="O113" s="468">
        <v>203505079.03221786</v>
      </c>
      <c r="P113" s="491">
        <f t="shared" si="87"/>
        <v>409241448.36556482</v>
      </c>
      <c r="Q113" s="491">
        <f>M113/(1+F114)</f>
        <v>195035427.74000221</v>
      </c>
      <c r="R113" s="491">
        <f>($Q113*$R$9)+$Q113</f>
        <v>203968050.33049431</v>
      </c>
      <c r="S113" s="491">
        <f t="shared" si="89"/>
        <v>1768319.0028526783</v>
      </c>
      <c r="T113" s="491">
        <f>O113/(1+F114)</f>
        <v>192920193.27901232</v>
      </c>
      <c r="U113" s="491">
        <f>($T113*$U$9)+$T113</f>
        <v>201755938.13119107</v>
      </c>
      <c r="V113" s="491">
        <f t="shared" si="91"/>
        <v>1749140.9010267854</v>
      </c>
      <c r="W113" s="491">
        <f>S113+V113</f>
        <v>3517459.9038794637</v>
      </c>
      <c r="Y113" s="361"/>
      <c r="AA113" s="361"/>
      <c r="AB113" s="362"/>
      <c r="AC113" s="362"/>
      <c r="AD113" s="362"/>
      <c r="AE113" s="362"/>
      <c r="AG113" s="361"/>
    </row>
    <row r="114" spans="2:33" s="355" customFormat="1" ht="12" customHeight="1" x14ac:dyDescent="0.2">
      <c r="B114" s="390" t="s">
        <v>515</v>
      </c>
      <c r="C114" s="490"/>
      <c r="D114" s="363">
        <v>44</v>
      </c>
      <c r="E114" s="402">
        <v>5887000</v>
      </c>
      <c r="F114" s="358">
        <f t="shared" si="84"/>
        <v>5.4866655342279635E-2</v>
      </c>
      <c r="G114" s="380">
        <v>6210000</v>
      </c>
      <c r="H114" s="359">
        <v>0.03</v>
      </c>
      <c r="I114" s="360">
        <f t="shared" si="85"/>
        <v>6396300</v>
      </c>
      <c r="J114" s="359">
        <v>0.05</v>
      </c>
      <c r="K114" s="360">
        <f t="shared" si="86"/>
        <v>6520500</v>
      </c>
      <c r="L114" s="487"/>
      <c r="M114" s="469"/>
      <c r="N114" s="487"/>
      <c r="O114" s="469"/>
      <c r="P114" s="491"/>
      <c r="Q114" s="491"/>
      <c r="R114" s="491"/>
      <c r="S114" s="491"/>
      <c r="T114" s="491"/>
      <c r="U114" s="491"/>
      <c r="V114" s="491"/>
      <c r="W114" s="491"/>
      <c r="Y114" s="361"/>
      <c r="AA114" s="361"/>
      <c r="AB114" s="362"/>
      <c r="AC114" s="362"/>
      <c r="AD114" s="362"/>
      <c r="AE114" s="362"/>
      <c r="AG114" s="361"/>
    </row>
    <row r="115" spans="2:33" s="355" customFormat="1" ht="12" customHeight="1" x14ac:dyDescent="0.2">
      <c r="B115" s="390" t="s">
        <v>757</v>
      </c>
      <c r="C115" s="356">
        <v>109221</v>
      </c>
      <c r="D115" s="363">
        <v>49</v>
      </c>
      <c r="E115" s="402">
        <v>8700000</v>
      </c>
      <c r="F115" s="358">
        <f t="shared" si="84"/>
        <v>5.4942528735632212E-2</v>
      </c>
      <c r="G115" s="403">
        <v>9178000</v>
      </c>
      <c r="H115" s="359">
        <v>0.03</v>
      </c>
      <c r="I115" s="404">
        <f t="shared" ref="I115:I117" si="94">+(G115*H115)+G115</f>
        <v>9453340</v>
      </c>
      <c r="J115" s="359">
        <v>0.05</v>
      </c>
      <c r="K115" s="404">
        <f t="shared" ref="K115:K117" si="95">+(G115*J115)+G115</f>
        <v>9636900</v>
      </c>
      <c r="L115" s="363">
        <v>38</v>
      </c>
      <c r="M115" s="357">
        <v>308105948.35090083</v>
      </c>
      <c r="N115" s="363">
        <v>38</v>
      </c>
      <c r="O115" s="357">
        <v>335173343.85359061</v>
      </c>
      <c r="P115" s="405">
        <f>+M115+O115</f>
        <v>643279292.20449138</v>
      </c>
      <c r="Q115" s="405">
        <f>M115/(1+F115)</f>
        <v>292059462.91706657</v>
      </c>
      <c r="R115" s="405">
        <f t="shared" ref="R115:R120" si="96">($Q115*$R$9)+$Q115</f>
        <v>305435786.31866825</v>
      </c>
      <c r="S115" s="405">
        <f>M115-R115</f>
        <v>2670162.0322325826</v>
      </c>
      <c r="T115" s="405">
        <f>O115/(1+F115)</f>
        <v>317717159.67816937</v>
      </c>
      <c r="U115" s="405">
        <f t="shared" ref="U115:U120" si="97">($T115*$U$9)+$T115</f>
        <v>332268605.59142953</v>
      </c>
      <c r="V115" s="405">
        <f>O115-U115</f>
        <v>2904738.2621610761</v>
      </c>
      <c r="W115" s="405">
        <f t="shared" ref="W115:W117" si="98">S115+V115</f>
        <v>5574900.2943936586</v>
      </c>
      <c r="Y115" s="361"/>
      <c r="AA115" s="361"/>
      <c r="AB115" s="362"/>
      <c r="AC115" s="362"/>
      <c r="AD115" s="362"/>
      <c r="AE115" s="362"/>
      <c r="AG115" s="361"/>
    </row>
    <row r="116" spans="2:33" s="355" customFormat="1" ht="12" customHeight="1" x14ac:dyDescent="0.2">
      <c r="B116" s="390" t="s">
        <v>758</v>
      </c>
      <c r="C116" s="356">
        <v>109138</v>
      </c>
      <c r="D116" s="363">
        <v>42</v>
      </c>
      <c r="E116" s="357">
        <v>9737000</v>
      </c>
      <c r="F116" s="358">
        <f t="shared" si="84"/>
        <v>5.4945054945054972E-2</v>
      </c>
      <c r="G116" s="357">
        <v>10272000</v>
      </c>
      <c r="H116" s="359">
        <v>0.03</v>
      </c>
      <c r="I116" s="360">
        <f t="shared" si="94"/>
        <v>10580160</v>
      </c>
      <c r="J116" s="359">
        <v>0.05</v>
      </c>
      <c r="K116" s="360">
        <f t="shared" si="95"/>
        <v>10785600</v>
      </c>
      <c r="L116" s="363">
        <v>45</v>
      </c>
      <c r="M116" s="357">
        <v>343332721.6876837</v>
      </c>
      <c r="N116" s="363">
        <v>47</v>
      </c>
      <c r="O116" s="357">
        <v>432904659.34187192</v>
      </c>
      <c r="P116" s="365">
        <f>+M116+O116</f>
        <v>776237381.02955556</v>
      </c>
      <c r="Q116" s="365">
        <f>M116/(1+F116)</f>
        <v>325450809.09978348</v>
      </c>
      <c r="R116" s="365">
        <f>($Q116*$R$9)+$Q116</f>
        <v>340356456.15655357</v>
      </c>
      <c r="S116" s="365">
        <f>M116-R116</f>
        <v>2976265.5311301351</v>
      </c>
      <c r="T116" s="365">
        <f>O116/(1+F116)</f>
        <v>410357541.6678161</v>
      </c>
      <c r="U116" s="365">
        <f>($T116*$U$9)+$T116</f>
        <v>429151917.07620209</v>
      </c>
      <c r="V116" s="365">
        <f>O116-U116</f>
        <v>3752742.2656698227</v>
      </c>
      <c r="W116" s="365">
        <f t="shared" si="98"/>
        <v>6729007.7967999578</v>
      </c>
      <c r="Y116" s="361"/>
      <c r="AA116" s="361"/>
      <c r="AB116" s="362"/>
      <c r="AC116" s="362"/>
      <c r="AD116" s="362"/>
      <c r="AE116" s="362"/>
      <c r="AG116" s="361"/>
    </row>
    <row r="117" spans="2:33" s="355" customFormat="1" ht="12" customHeight="1" x14ac:dyDescent="0.2">
      <c r="B117" s="398" t="s">
        <v>555</v>
      </c>
      <c r="C117" s="356">
        <v>105987</v>
      </c>
      <c r="D117" s="363">
        <v>93</v>
      </c>
      <c r="E117" s="357">
        <v>15309000</v>
      </c>
      <c r="F117" s="358">
        <f t="shared" si="84"/>
        <v>0</v>
      </c>
      <c r="G117" s="357">
        <v>15309000</v>
      </c>
      <c r="H117" s="359">
        <v>0.03</v>
      </c>
      <c r="I117" s="360">
        <f t="shared" si="94"/>
        <v>15768270</v>
      </c>
      <c r="J117" s="359">
        <v>0.05</v>
      </c>
      <c r="K117" s="360">
        <f t="shared" si="95"/>
        <v>16074450</v>
      </c>
      <c r="L117" s="363">
        <v>7</v>
      </c>
      <c r="M117" s="357">
        <v>107163000</v>
      </c>
      <c r="N117" s="363">
        <v>7</v>
      </c>
      <c r="O117" s="357">
        <v>107163000</v>
      </c>
      <c r="P117" s="365">
        <f>+M117+O117</f>
        <v>214326000</v>
      </c>
      <c r="Q117" s="365">
        <f>M117/(1+F117)</f>
        <v>107163000</v>
      </c>
      <c r="R117" s="365">
        <f t="shared" si="96"/>
        <v>112071065.40000001</v>
      </c>
      <c r="S117" s="365">
        <f>M117-R117</f>
        <v>-4908065.400000006</v>
      </c>
      <c r="T117" s="365">
        <f>O117/(1+F117)</f>
        <v>107163000</v>
      </c>
      <c r="U117" s="365">
        <f t="shared" si="97"/>
        <v>112071065.40000001</v>
      </c>
      <c r="V117" s="365">
        <f>O117-U117</f>
        <v>-4908065.400000006</v>
      </c>
      <c r="W117" s="365">
        <f t="shared" si="98"/>
        <v>-9816130.8000000119</v>
      </c>
      <c r="Y117" s="361"/>
      <c r="AA117" s="361"/>
      <c r="AB117" s="362"/>
      <c r="AC117" s="362"/>
      <c r="AD117" s="362"/>
      <c r="AE117" s="362"/>
      <c r="AG117" s="361"/>
    </row>
    <row r="118" spans="2:33" s="355" customFormat="1" ht="12" customHeight="1" x14ac:dyDescent="0.2">
      <c r="B118" s="392" t="s">
        <v>799</v>
      </c>
      <c r="C118" s="406"/>
      <c r="D118" s="407"/>
      <c r="E118" s="370"/>
      <c r="F118" s="408"/>
      <c r="G118" s="396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  <c r="W118" s="397"/>
      <c r="Y118" s="361"/>
      <c r="AA118" s="361"/>
      <c r="AB118" s="362"/>
      <c r="AC118" s="362"/>
      <c r="AD118" s="362"/>
      <c r="AE118" s="362"/>
      <c r="AG118" s="361"/>
    </row>
    <row r="119" spans="2:33" s="355" customFormat="1" ht="12" customHeight="1" x14ac:dyDescent="0.2">
      <c r="B119" s="390" t="s">
        <v>756</v>
      </c>
      <c r="C119" s="356">
        <v>108748</v>
      </c>
      <c r="D119" s="363">
        <v>23</v>
      </c>
      <c r="E119" s="402">
        <v>6016000</v>
      </c>
      <c r="F119" s="358">
        <f>(G119/E119)-1</f>
        <v>5.4853723404255428E-2</v>
      </c>
      <c r="G119" s="357">
        <v>6346000</v>
      </c>
      <c r="H119" s="359">
        <v>0.03</v>
      </c>
      <c r="I119" s="360">
        <f t="shared" ref="I119:I120" si="99">+(G119*H119)+G119</f>
        <v>6536380</v>
      </c>
      <c r="J119" s="359">
        <v>0.05</v>
      </c>
      <c r="K119" s="360">
        <f t="shared" ref="K119:K120" si="100">+(G119*J119)+G119</f>
        <v>6663300</v>
      </c>
      <c r="L119" s="363">
        <v>20</v>
      </c>
      <c r="M119" s="357">
        <v>126920000</v>
      </c>
      <c r="N119" s="363">
        <v>20</v>
      </c>
      <c r="O119" s="357">
        <v>126920000</v>
      </c>
      <c r="P119" s="405">
        <f>+M119+O119</f>
        <v>253840000</v>
      </c>
      <c r="Q119" s="405">
        <f>M119/(1+F119)</f>
        <v>120319999.99999999</v>
      </c>
      <c r="R119" s="405">
        <f t="shared" si="96"/>
        <v>125830655.99999999</v>
      </c>
      <c r="S119" s="405">
        <f>M119-R119</f>
        <v>1089344.0000000149</v>
      </c>
      <c r="T119" s="405">
        <f>O119/(1+F119)</f>
        <v>120319999.99999999</v>
      </c>
      <c r="U119" s="405">
        <f t="shared" si="97"/>
        <v>125830655.99999999</v>
      </c>
      <c r="V119" s="405">
        <f>O119-U119</f>
        <v>1089344.0000000149</v>
      </c>
      <c r="W119" s="405">
        <f t="shared" ref="W119:W120" si="101">S119+V119</f>
        <v>2178688.0000000298</v>
      </c>
      <c r="Y119" s="361"/>
      <c r="AA119" s="361"/>
      <c r="AB119" s="362"/>
      <c r="AC119" s="362"/>
      <c r="AD119" s="362"/>
      <c r="AE119" s="362"/>
      <c r="AG119" s="361"/>
    </row>
    <row r="120" spans="2:33" s="355" customFormat="1" ht="12" customHeight="1" thickBot="1" x14ac:dyDescent="0.25">
      <c r="B120" s="390" t="s">
        <v>760</v>
      </c>
      <c r="C120" s="356">
        <v>108666</v>
      </c>
      <c r="D120" s="363">
        <v>39</v>
      </c>
      <c r="E120" s="357">
        <v>9658000</v>
      </c>
      <c r="F120" s="358">
        <f>(G120/E120)-1</f>
        <v>5.4980327189894318E-2</v>
      </c>
      <c r="G120" s="357">
        <v>10189000</v>
      </c>
      <c r="H120" s="359">
        <v>0.03</v>
      </c>
      <c r="I120" s="360">
        <f t="shared" si="99"/>
        <v>10494670</v>
      </c>
      <c r="J120" s="359">
        <v>0.05</v>
      </c>
      <c r="K120" s="360">
        <f t="shared" si="100"/>
        <v>10698450</v>
      </c>
      <c r="L120" s="363">
        <v>13</v>
      </c>
      <c r="M120" s="357">
        <v>132457000</v>
      </c>
      <c r="N120" s="363">
        <v>27</v>
      </c>
      <c r="O120" s="357">
        <v>275103000</v>
      </c>
      <c r="P120" s="365">
        <f>+M120+O120</f>
        <v>407560000</v>
      </c>
      <c r="Q120" s="365">
        <f>M120/(1+F120)</f>
        <v>125554000.00000001</v>
      </c>
      <c r="R120" s="365">
        <f t="shared" si="96"/>
        <v>131304373.20000002</v>
      </c>
      <c r="S120" s="365">
        <f>M120-R120</f>
        <v>1152626.7999999821</v>
      </c>
      <c r="T120" s="365">
        <f>O120/(1+F120)</f>
        <v>260766000.00000003</v>
      </c>
      <c r="U120" s="365">
        <f t="shared" si="97"/>
        <v>272709082.80000001</v>
      </c>
      <c r="V120" s="365">
        <f>O120-U120</f>
        <v>2393917.1999999881</v>
      </c>
      <c r="W120" s="365">
        <f t="shared" si="101"/>
        <v>3546543.9999999702</v>
      </c>
      <c r="Y120" s="361"/>
      <c r="AA120" s="361"/>
      <c r="AB120" s="362"/>
      <c r="AC120" s="362"/>
      <c r="AD120" s="362"/>
      <c r="AE120" s="362"/>
      <c r="AG120" s="361"/>
    </row>
    <row r="121" spans="2:33" s="349" customFormat="1" ht="21" customHeight="1" x14ac:dyDescent="0.35">
      <c r="B121" s="309" t="s">
        <v>551</v>
      </c>
      <c r="C121" s="284"/>
      <c r="D121" s="287"/>
      <c r="E121" s="274">
        <f>SUM(E69:E120)-E113</f>
        <v>517159000</v>
      </c>
      <c r="F121" s="317" t="s">
        <v>548</v>
      </c>
      <c r="G121" s="274">
        <f>SUM(G69:G120)-G113</f>
        <v>542494000</v>
      </c>
      <c r="H121" s="284"/>
      <c r="I121" s="274">
        <f>SUM(I69:I120)-I113</f>
        <v>558768820</v>
      </c>
      <c r="J121" s="284"/>
      <c r="K121" s="274">
        <f>SUM(K69:K120)-K113</f>
        <v>569618700</v>
      </c>
      <c r="L121" s="311">
        <f t="shared" ref="L121:W121" si="102">SUM(L69:L120)</f>
        <v>1136</v>
      </c>
      <c r="M121" s="312">
        <f t="shared" si="102"/>
        <v>10796142277</v>
      </c>
      <c r="N121" s="311">
        <f t="shared" si="102"/>
        <v>1231</v>
      </c>
      <c r="O121" s="312">
        <f t="shared" si="102"/>
        <v>11834154099.971464</v>
      </c>
      <c r="P121" s="312">
        <f t="shared" si="102"/>
        <v>22630296376.97147</v>
      </c>
      <c r="Q121" s="312">
        <f t="shared" si="102"/>
        <v>10242319037.157118</v>
      </c>
      <c r="R121" s="312">
        <f t="shared" si="102"/>
        <v>10711417249.05892</v>
      </c>
      <c r="S121" s="312">
        <f t="shared" si="102"/>
        <v>84725027.941083714</v>
      </c>
      <c r="T121" s="312">
        <f t="shared" si="102"/>
        <v>11229073345.480307</v>
      </c>
      <c r="U121" s="312">
        <f t="shared" si="102"/>
        <v>11743364904.703304</v>
      </c>
      <c r="V121" s="312">
        <f t="shared" si="102"/>
        <v>90789195.268162176</v>
      </c>
      <c r="W121" s="312">
        <f t="shared" si="102"/>
        <v>175514223.20924586</v>
      </c>
      <c r="AB121" s="372"/>
      <c r="AD121" s="372"/>
      <c r="AE121" s="372"/>
      <c r="AG121" s="371"/>
    </row>
    <row r="122" spans="2:33" s="349" customFormat="1" ht="22.5" customHeight="1" thickBot="1" x14ac:dyDescent="0.3">
      <c r="B122" s="318" t="s">
        <v>565</v>
      </c>
      <c r="C122" s="319"/>
      <c r="D122" s="320"/>
      <c r="E122" s="314"/>
      <c r="F122" s="279"/>
      <c r="G122" s="275">
        <f>+SUMPRODUCT(G69:G120,F69:F120)/G121</f>
        <v>4.9267405582686857E-2</v>
      </c>
      <c r="H122" s="285"/>
      <c r="I122" s="285"/>
      <c r="J122" s="285"/>
      <c r="K122" s="285"/>
      <c r="L122" s="277"/>
      <c r="M122" s="278"/>
      <c r="N122" s="277"/>
      <c r="O122" s="279"/>
      <c r="P122" s="279"/>
      <c r="Q122" s="275"/>
      <c r="R122" s="275"/>
      <c r="S122" s="275"/>
      <c r="T122" s="275"/>
      <c r="U122" s="275"/>
      <c r="V122" s="275"/>
      <c r="W122" s="275"/>
      <c r="AB122" s="372"/>
      <c r="AD122" s="372"/>
      <c r="AE122" s="372"/>
      <c r="AG122" s="371"/>
    </row>
    <row r="123" spans="2:33" s="349" customFormat="1" ht="23.25" customHeight="1" x14ac:dyDescent="0.35">
      <c r="B123" s="309" t="s">
        <v>552</v>
      </c>
      <c r="C123" s="284"/>
      <c r="D123" s="287"/>
      <c r="E123" s="321"/>
      <c r="F123" s="321"/>
      <c r="G123" s="322"/>
      <c r="H123" s="323"/>
      <c r="I123" s="322"/>
      <c r="J123" s="322"/>
      <c r="K123" s="322"/>
      <c r="L123" s="311">
        <f>+L121+L65</f>
        <v>7801</v>
      </c>
      <c r="M123" s="312">
        <f>M121+M65</f>
        <v>70513390924</v>
      </c>
      <c r="N123" s="311">
        <f>+N121+N65</f>
        <v>7927</v>
      </c>
      <c r="O123" s="312">
        <f t="shared" ref="O123:W123" si="103">O121+O65</f>
        <v>72618752687.971466</v>
      </c>
      <c r="P123" s="312">
        <f t="shared" si="103"/>
        <v>143132143611.97147</v>
      </c>
      <c r="Q123" s="312">
        <f t="shared" si="103"/>
        <v>66914349206.365532</v>
      </c>
      <c r="R123" s="312">
        <f t="shared" si="103"/>
        <v>69979026400.017075</v>
      </c>
      <c r="S123" s="312">
        <f t="shared" si="103"/>
        <v>534364523.98292959</v>
      </c>
      <c r="T123" s="312">
        <f t="shared" si="103"/>
        <v>68915957495.930008</v>
      </c>
      <c r="U123" s="312">
        <f t="shared" si="103"/>
        <v>72072308349.243591</v>
      </c>
      <c r="V123" s="312">
        <f t="shared" si="103"/>
        <v>546444338.72786295</v>
      </c>
      <c r="W123" s="312">
        <f t="shared" si="103"/>
        <v>1080808862.7107925</v>
      </c>
      <c r="AB123" s="372"/>
      <c r="AD123" s="372"/>
      <c r="AE123" s="372"/>
      <c r="AG123" s="371"/>
    </row>
    <row r="124" spans="2:33" s="349" customFormat="1" ht="21.75" thickBot="1" x14ac:dyDescent="0.4">
      <c r="B124" s="313" t="s">
        <v>553</v>
      </c>
      <c r="C124" s="285"/>
      <c r="D124" s="288"/>
      <c r="E124" s="324"/>
      <c r="F124" s="324"/>
      <c r="G124" s="325">
        <f>((+SUMPRODUCT(G12:G64,F12:F64))+(SUMPRODUCT(G69:G114,F69:F114)))/(G65+G121)</f>
        <v>4.8601510795197672E-2</v>
      </c>
      <c r="H124" s="326"/>
      <c r="I124" s="327"/>
      <c r="J124" s="327"/>
      <c r="K124" s="327"/>
      <c r="L124" s="328"/>
      <c r="M124" s="329"/>
      <c r="N124" s="328"/>
      <c r="O124" s="330"/>
      <c r="P124" s="275"/>
      <c r="Q124" s="331"/>
      <c r="R124" s="332"/>
      <c r="S124" s="332"/>
      <c r="T124" s="332"/>
      <c r="U124" s="332"/>
      <c r="V124" s="332"/>
      <c r="W124" s="333"/>
      <c r="AB124" s="372"/>
      <c r="AD124" s="372"/>
      <c r="AE124" s="372"/>
      <c r="AG124" s="371"/>
    </row>
    <row r="125" spans="2:33" s="349" customFormat="1" x14ac:dyDescent="0.2">
      <c r="D125" s="409"/>
      <c r="G125" s="410"/>
      <c r="AG125" s="371"/>
    </row>
    <row r="126" spans="2:33" s="349" customFormat="1" ht="12" x14ac:dyDescent="0.2">
      <c r="B126" s="334" t="s">
        <v>592</v>
      </c>
      <c r="C126" s="334"/>
      <c r="D126" s="409"/>
      <c r="Q126" s="372"/>
      <c r="AG126" s="371"/>
    </row>
    <row r="127" spans="2:33" s="349" customFormat="1" ht="12" x14ac:dyDescent="0.2">
      <c r="B127" s="335" t="s">
        <v>705</v>
      </c>
      <c r="C127" s="335"/>
      <c r="D127" s="409"/>
      <c r="E127" s="411"/>
      <c r="F127" s="412"/>
      <c r="O127" s="372"/>
      <c r="P127" s="372"/>
      <c r="Q127" s="372"/>
      <c r="R127" s="372"/>
      <c r="S127" s="372"/>
      <c r="T127" s="372"/>
      <c r="U127" s="372"/>
      <c r="V127" s="372"/>
      <c r="W127" s="372"/>
    </row>
    <row r="128" spans="2:33" s="349" customFormat="1" x14ac:dyDescent="0.2">
      <c r="D128" s="409"/>
      <c r="E128" s="411"/>
      <c r="S128" s="372"/>
    </row>
    <row r="129" spans="1:33" s="349" customFormat="1" x14ac:dyDescent="0.2">
      <c r="D129" s="409"/>
      <c r="E129" s="411"/>
    </row>
    <row r="130" spans="1:33" s="349" customFormat="1" x14ac:dyDescent="0.2">
      <c r="D130" s="409"/>
      <c r="E130" s="411"/>
      <c r="M130" s="372"/>
    </row>
    <row r="131" spans="1:33" s="349" customFormat="1" x14ac:dyDescent="0.2">
      <c r="D131" s="409"/>
      <c r="E131" s="411"/>
    </row>
    <row r="132" spans="1:33" s="349" customFormat="1" x14ac:dyDescent="0.2">
      <c r="D132" s="409"/>
      <c r="E132" s="411"/>
      <c r="G132" s="349" t="s">
        <v>859</v>
      </c>
    </row>
    <row r="133" spans="1:33" s="349" customFormat="1" x14ac:dyDescent="0.2">
      <c r="D133" s="409"/>
      <c r="E133" s="411"/>
    </row>
    <row r="134" spans="1:33" s="349" customFormat="1" x14ac:dyDescent="0.2">
      <c r="D134" s="409"/>
      <c r="E134" s="411"/>
    </row>
    <row r="135" spans="1:33" s="349" customFormat="1" x14ac:dyDescent="0.2">
      <c r="D135" s="409"/>
      <c r="E135" s="411"/>
    </row>
    <row r="136" spans="1:33" x14ac:dyDescent="0.2">
      <c r="A136" s="349"/>
      <c r="B136" s="349"/>
      <c r="C136" s="349"/>
      <c r="D136" s="409"/>
      <c r="E136" s="411"/>
      <c r="F136" s="349"/>
      <c r="G136" s="349"/>
      <c r="H136" s="349"/>
      <c r="I136" s="349"/>
      <c r="J136" s="349"/>
      <c r="K136" s="349"/>
      <c r="L136" s="349"/>
      <c r="M136" s="349"/>
      <c r="N136" s="349"/>
      <c r="O136" s="349"/>
      <c r="P136" s="349"/>
      <c r="Q136" s="349"/>
      <c r="R136" s="349"/>
      <c r="S136" s="349"/>
      <c r="T136" s="349"/>
      <c r="U136" s="349"/>
      <c r="V136" s="349"/>
      <c r="W136" s="349"/>
      <c r="X136" s="349"/>
      <c r="Y136" s="349"/>
      <c r="Z136" s="349"/>
      <c r="AA136" s="349"/>
      <c r="AB136" s="349"/>
      <c r="AC136" s="349"/>
      <c r="AD136" s="349"/>
      <c r="AE136" s="349"/>
      <c r="AF136" s="349"/>
      <c r="AG136" s="349"/>
    </row>
  </sheetData>
  <mergeCells count="237">
    <mergeCell ref="T83:T84"/>
    <mergeCell ref="U83:U84"/>
    <mergeCell ref="V83:V84"/>
    <mergeCell ref="W83:W84"/>
    <mergeCell ref="O95:O97"/>
    <mergeCell ref="P95:P97"/>
    <mergeCell ref="Q95:Q97"/>
    <mergeCell ref="R95:R97"/>
    <mergeCell ref="S95:S97"/>
    <mergeCell ref="U95:U97"/>
    <mergeCell ref="V95:V97"/>
    <mergeCell ref="W95:W97"/>
    <mergeCell ref="L83:L84"/>
    <mergeCell ref="M83:M84"/>
    <mergeCell ref="N83:N84"/>
    <mergeCell ref="O83:O84"/>
    <mergeCell ref="P83:P84"/>
    <mergeCell ref="Q83:Q84"/>
    <mergeCell ref="R83:R84"/>
    <mergeCell ref="S83:S84"/>
    <mergeCell ref="L62:L64"/>
    <mergeCell ref="L12:L13"/>
    <mergeCell ref="C113:C114"/>
    <mergeCell ref="V113:V114"/>
    <mergeCell ref="W113:W114"/>
    <mergeCell ref="S113:S114"/>
    <mergeCell ref="L113:L114"/>
    <mergeCell ref="M113:M114"/>
    <mergeCell ref="N113:N114"/>
    <mergeCell ref="O113:O114"/>
    <mergeCell ref="P113:P114"/>
    <mergeCell ref="Q113:Q114"/>
    <mergeCell ref="R113:R114"/>
    <mergeCell ref="T113:T114"/>
    <mergeCell ref="U113:U114"/>
    <mergeCell ref="N38:N39"/>
    <mergeCell ref="N44:N45"/>
    <mergeCell ref="N46:N48"/>
    <mergeCell ref="N55:N56"/>
    <mergeCell ref="D62:D64"/>
    <mergeCell ref="C62:C64"/>
    <mergeCell ref="S62:S64"/>
    <mergeCell ref="M95:M97"/>
    <mergeCell ref="N95:N97"/>
    <mergeCell ref="M27:M28"/>
    <mergeCell ref="C83:C84"/>
    <mergeCell ref="D83:D84"/>
    <mergeCell ref="L95:L97"/>
    <mergeCell ref="B3:W3"/>
    <mergeCell ref="B4:W4"/>
    <mergeCell ref="D18:D19"/>
    <mergeCell ref="D55:D56"/>
    <mergeCell ref="D12:D13"/>
    <mergeCell ref="D35:D37"/>
    <mergeCell ref="D46:D48"/>
    <mergeCell ref="D14:D15"/>
    <mergeCell ref="L14:L15"/>
    <mergeCell ref="L16:L17"/>
    <mergeCell ref="L18:L19"/>
    <mergeCell ref="O12:O13"/>
    <mergeCell ref="O14:O15"/>
    <mergeCell ref="P12:P13"/>
    <mergeCell ref="P14:P15"/>
    <mergeCell ref="M12:M13"/>
    <mergeCell ref="M14:M15"/>
    <mergeCell ref="N12:N13"/>
    <mergeCell ref="N14:N15"/>
    <mergeCell ref="T95:T97"/>
    <mergeCell ref="N29:N31"/>
    <mergeCell ref="D59:D60"/>
    <mergeCell ref="O59:O60"/>
    <mergeCell ref="O25:O26"/>
    <mergeCell ref="O27:O28"/>
    <mergeCell ref="O29:O31"/>
    <mergeCell ref="O35:O37"/>
    <mergeCell ref="O38:O39"/>
    <mergeCell ref="O44:O45"/>
    <mergeCell ref="L25:L26"/>
    <mergeCell ref="L59:L60"/>
    <mergeCell ref="L55:L56"/>
    <mergeCell ref="L46:L48"/>
    <mergeCell ref="L44:L45"/>
    <mergeCell ref="L38:L39"/>
    <mergeCell ref="M25:M26"/>
    <mergeCell ref="L27:L28"/>
    <mergeCell ref="L29:L31"/>
    <mergeCell ref="L35:L37"/>
    <mergeCell ref="O46:O48"/>
    <mergeCell ref="D44:D45"/>
    <mergeCell ref="D29:D31"/>
    <mergeCell ref="M44:M45"/>
    <mergeCell ref="N35:N37"/>
    <mergeCell ref="D16:D17"/>
    <mergeCell ref="D38:D39"/>
    <mergeCell ref="D25:D26"/>
    <mergeCell ref="D27:D28"/>
    <mergeCell ref="M35:M37"/>
    <mergeCell ref="M38:M39"/>
    <mergeCell ref="P16:P17"/>
    <mergeCell ref="P18:P19"/>
    <mergeCell ref="M16:M17"/>
    <mergeCell ref="M32:M34"/>
    <mergeCell ref="N32:N34"/>
    <mergeCell ref="O32:O34"/>
    <mergeCell ref="P32:P34"/>
    <mergeCell ref="M29:M31"/>
    <mergeCell ref="M18:M19"/>
    <mergeCell ref="D32:D34"/>
    <mergeCell ref="L32:L34"/>
    <mergeCell ref="O16:O17"/>
    <mergeCell ref="O18:O19"/>
    <mergeCell ref="N25:N26"/>
    <mergeCell ref="N16:N17"/>
    <mergeCell ref="N18:N19"/>
    <mergeCell ref="N27:N28"/>
    <mergeCell ref="P35:P37"/>
    <mergeCell ref="Q25:Q26"/>
    <mergeCell ref="Q44:Q45"/>
    <mergeCell ref="R44:R45"/>
    <mergeCell ref="Q27:Q28"/>
    <mergeCell ref="Q35:Q37"/>
    <mergeCell ref="Q29:Q31"/>
    <mergeCell ref="S38:S39"/>
    <mergeCell ref="R27:R28"/>
    <mergeCell ref="R29:R31"/>
    <mergeCell ref="R35:R37"/>
    <mergeCell ref="R38:R39"/>
    <mergeCell ref="Q32:Q34"/>
    <mergeCell ref="R32:R34"/>
    <mergeCell ref="P44:P45"/>
    <mergeCell ref="P25:P26"/>
    <mergeCell ref="P27:P28"/>
    <mergeCell ref="P29:P31"/>
    <mergeCell ref="V18:V19"/>
    <mergeCell ref="V25:V26"/>
    <mergeCell ref="S32:S34"/>
    <mergeCell ref="V12:V13"/>
    <mergeCell ref="V14:V15"/>
    <mergeCell ref="V16:V17"/>
    <mergeCell ref="U12:U13"/>
    <mergeCell ref="T12:T13"/>
    <mergeCell ref="T14:T15"/>
    <mergeCell ref="Q12:Q13"/>
    <mergeCell ref="Q14:Q15"/>
    <mergeCell ref="Q16:Q17"/>
    <mergeCell ref="Q18:Q19"/>
    <mergeCell ref="R12:R13"/>
    <mergeCell ref="R14:R15"/>
    <mergeCell ref="R16:R17"/>
    <mergeCell ref="R18:R19"/>
    <mergeCell ref="R25:R26"/>
    <mergeCell ref="T38:T39"/>
    <mergeCell ref="T44:T45"/>
    <mergeCell ref="T62:T64"/>
    <mergeCell ref="S59:S60"/>
    <mergeCell ref="S27:S28"/>
    <mergeCell ref="S29:S31"/>
    <mergeCell ref="S35:S37"/>
    <mergeCell ref="S25:S26"/>
    <mergeCell ref="T32:T34"/>
    <mergeCell ref="T16:T17"/>
    <mergeCell ref="T18:T19"/>
    <mergeCell ref="T25:T26"/>
    <mergeCell ref="T27:T28"/>
    <mergeCell ref="T29:T31"/>
    <mergeCell ref="T35:T37"/>
    <mergeCell ref="S16:S17"/>
    <mergeCell ref="S18:S19"/>
    <mergeCell ref="W32:W34"/>
    <mergeCell ref="U44:U45"/>
    <mergeCell ref="U46:U48"/>
    <mergeCell ref="U55:U56"/>
    <mergeCell ref="U59:U60"/>
    <mergeCell ref="U27:U28"/>
    <mergeCell ref="U29:U31"/>
    <mergeCell ref="U35:U37"/>
    <mergeCell ref="U38:U39"/>
    <mergeCell ref="V44:V45"/>
    <mergeCell ref="V46:V48"/>
    <mergeCell ref="V55:V56"/>
    <mergeCell ref="V59:V60"/>
    <mergeCell ref="W44:W45"/>
    <mergeCell ref="W46:W48"/>
    <mergeCell ref="W55:W56"/>
    <mergeCell ref="W59:W60"/>
    <mergeCell ref="W27:W28"/>
    <mergeCell ref="W29:W31"/>
    <mergeCell ref="W35:W37"/>
    <mergeCell ref="W38:W39"/>
    <mergeCell ref="U62:U64"/>
    <mergeCell ref="V62:V64"/>
    <mergeCell ref="W12:W13"/>
    <mergeCell ref="W14:W15"/>
    <mergeCell ref="W16:W17"/>
    <mergeCell ref="W18:W19"/>
    <mergeCell ref="S46:S48"/>
    <mergeCell ref="S44:S45"/>
    <mergeCell ref="T59:T60"/>
    <mergeCell ref="T46:T48"/>
    <mergeCell ref="T55:T56"/>
    <mergeCell ref="W25:W26"/>
    <mergeCell ref="V27:V28"/>
    <mergeCell ref="V29:V31"/>
    <mergeCell ref="V35:V37"/>
    <mergeCell ref="V38:V39"/>
    <mergeCell ref="U14:U15"/>
    <mergeCell ref="U16:U17"/>
    <mergeCell ref="U18:U19"/>
    <mergeCell ref="U25:U26"/>
    <mergeCell ref="U32:U34"/>
    <mergeCell ref="V32:V34"/>
    <mergeCell ref="S12:S13"/>
    <mergeCell ref="S14:S15"/>
    <mergeCell ref="W62:W64"/>
    <mergeCell ref="R59:R60"/>
    <mergeCell ref="Q38:Q39"/>
    <mergeCell ref="M55:M56"/>
    <mergeCell ref="N59:N60"/>
    <mergeCell ref="M59:M60"/>
    <mergeCell ref="P46:P48"/>
    <mergeCell ref="P55:P56"/>
    <mergeCell ref="P59:P60"/>
    <mergeCell ref="O55:O56"/>
    <mergeCell ref="M46:M48"/>
    <mergeCell ref="S55:S56"/>
    <mergeCell ref="P38:P39"/>
    <mergeCell ref="M62:M64"/>
    <mergeCell ref="N62:N64"/>
    <mergeCell ref="O62:O64"/>
    <mergeCell ref="P62:P64"/>
    <mergeCell ref="Q62:Q64"/>
    <mergeCell ref="R62:R64"/>
    <mergeCell ref="R46:R48"/>
    <mergeCell ref="R55:R56"/>
    <mergeCell ref="Q46:Q48"/>
    <mergeCell ref="Q55:Q56"/>
    <mergeCell ref="Q59:Q60"/>
  </mergeCells>
  <hyperlinks>
    <hyperlink ref="B1" location="Contenido!B21" display="Volver al menú" xr:uid="{00000000-0004-0000-04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AG127"/>
  <sheetViews>
    <sheetView showGridLines="0" topLeftCell="B1" zoomScaleNormal="100" workbookViewId="0">
      <pane xSplit="4" ySplit="11" topLeftCell="F92" activePane="bottomRight" state="frozen"/>
      <selection activeCell="B1" sqref="B1"/>
      <selection pane="topRight" activeCell="F1" sqref="F1"/>
      <selection pane="bottomLeft" activeCell="B12" sqref="B12"/>
      <selection pane="bottomRight" activeCell="G98" sqref="G98:G110"/>
    </sheetView>
  </sheetViews>
  <sheetFormatPr baseColWidth="10" defaultColWidth="11.42578125" defaultRowHeight="11.25" x14ac:dyDescent="0.2"/>
  <cols>
    <col min="1" max="1" width="2.7109375" style="63" customWidth="1"/>
    <col min="2" max="2" width="61.5703125" style="63" customWidth="1"/>
    <col min="3" max="3" width="11.28515625" style="63" bestFit="1" customWidth="1"/>
    <col min="4" max="4" width="7.42578125" style="114" hidden="1" customWidth="1"/>
    <col min="5" max="5" width="15.7109375" style="63" customWidth="1"/>
    <col min="6" max="6" width="8" style="63" customWidth="1"/>
    <col min="7" max="7" width="18" style="63" bestFit="1" customWidth="1"/>
    <col min="8" max="8" width="10.140625" style="63" hidden="1" customWidth="1"/>
    <col min="9" max="9" width="15.140625" style="63" hidden="1" customWidth="1"/>
    <col min="10" max="10" width="10.140625" style="63" hidden="1" customWidth="1"/>
    <col min="11" max="11" width="15.140625" style="63" hidden="1" customWidth="1"/>
    <col min="12" max="12" width="13.28515625" style="63" hidden="1" customWidth="1"/>
    <col min="13" max="13" width="20" style="63" customWidth="1"/>
    <col min="14" max="14" width="11.42578125" style="63" hidden="1" customWidth="1"/>
    <col min="15" max="15" width="16.28515625" style="63" customWidth="1"/>
    <col min="16" max="17" width="15.5703125" style="63" customWidth="1"/>
    <col min="18" max="18" width="19.5703125" style="63" customWidth="1"/>
    <col min="19" max="19" width="17" style="63" hidden="1" customWidth="1"/>
    <col min="20" max="20" width="18.28515625" style="63" hidden="1" customWidth="1"/>
    <col min="21" max="22" width="17.5703125" style="63" customWidth="1"/>
    <col min="23" max="23" width="16.5703125" style="63" customWidth="1"/>
    <col min="24" max="24" width="19.140625" style="63" customWidth="1"/>
    <col min="25" max="25" width="20" style="63" customWidth="1"/>
    <col min="26" max="27" width="18.5703125" style="63" customWidth="1"/>
    <col min="28" max="32" width="11.42578125" style="63"/>
    <col min="33" max="33" width="13.28515625" style="63" bestFit="1" customWidth="1"/>
    <col min="34" max="16384" width="11.42578125" style="63"/>
  </cols>
  <sheetData>
    <row r="1" spans="2:33" ht="12" customHeight="1" x14ac:dyDescent="0.25">
      <c r="B1" s="54" t="s">
        <v>494</v>
      </c>
      <c r="C1" s="54"/>
      <c r="D1" s="111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3" spans="2:33" ht="26.25" x14ac:dyDescent="0.4">
      <c r="B3" s="461" t="s">
        <v>493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</row>
    <row r="4" spans="2:33" ht="18.75" x14ac:dyDescent="0.3">
      <c r="B4" s="462" t="s">
        <v>701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</row>
    <row r="5" spans="2:33" ht="12" x14ac:dyDescent="0.2">
      <c r="B5" s="5"/>
      <c r="C5" s="5"/>
      <c r="D5" s="11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33" ht="12" x14ac:dyDescent="0.2">
      <c r="B6" s="5"/>
      <c r="C6" s="5"/>
      <c r="D6" s="112"/>
      <c r="E6" s="5"/>
      <c r="F6" s="5"/>
      <c r="G6" s="5"/>
      <c r="H6" s="5"/>
      <c r="I6" s="5"/>
      <c r="J6" s="5"/>
      <c r="K6" s="5"/>
      <c r="L6" s="5"/>
      <c r="M6" s="243">
        <f t="shared" ref="M6:O6" si="0">+M28+M34</f>
        <v>6104247200</v>
      </c>
      <c r="N6" s="243">
        <f t="shared" si="0"/>
        <v>972</v>
      </c>
      <c r="O6" s="243">
        <f t="shared" si="0"/>
        <v>6222620400</v>
      </c>
      <c r="P6" s="5"/>
      <c r="Q6" s="5"/>
      <c r="R6" s="243">
        <f>+R28+R34</f>
        <v>6019979343.6736774</v>
      </c>
      <c r="S6" s="5"/>
      <c r="T6" s="5"/>
      <c r="U6" s="243">
        <f>+U28+U34</f>
        <v>6136719818.667964</v>
      </c>
      <c r="V6" s="5"/>
      <c r="W6" s="5"/>
    </row>
    <row r="7" spans="2:33" ht="12" x14ac:dyDescent="0.2">
      <c r="B7" s="5"/>
      <c r="C7" s="5"/>
      <c r="D7" s="11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33" ht="30" customHeight="1" thickBot="1" x14ac:dyDescent="0.25">
      <c r="B8" s="5"/>
      <c r="C8" s="5"/>
      <c r="D8" s="112"/>
      <c r="E8" s="5"/>
      <c r="F8" s="5"/>
      <c r="G8" s="115"/>
      <c r="H8" s="5"/>
      <c r="I8" s="5"/>
      <c r="J8" s="5"/>
      <c r="K8" s="5"/>
      <c r="L8" s="5"/>
      <c r="M8" s="150"/>
      <c r="N8" s="5"/>
      <c r="O8" s="5"/>
      <c r="P8" s="5"/>
      <c r="Q8" s="5"/>
      <c r="R8" s="5"/>
      <c r="S8" s="5"/>
      <c r="T8" s="5"/>
      <c r="U8" s="5"/>
      <c r="V8" s="5"/>
      <c r="W8" s="5"/>
    </row>
    <row r="9" spans="2:33" ht="17.25" customHeight="1" thickBot="1" x14ac:dyDescent="0.3">
      <c r="B9" s="5"/>
      <c r="C9" s="5"/>
      <c r="D9" s="11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9"/>
      <c r="R9" s="64" t="s">
        <v>536</v>
      </c>
      <c r="S9" s="59"/>
      <c r="T9" s="59"/>
      <c r="U9" s="64" t="s">
        <v>536</v>
      </c>
      <c r="V9" s="59"/>
      <c r="W9" s="59"/>
    </row>
    <row r="10" spans="2:33" ht="59.25" customHeight="1" thickBot="1" x14ac:dyDescent="0.25">
      <c r="B10" s="65" t="s">
        <v>23</v>
      </c>
      <c r="C10" s="176" t="s">
        <v>667</v>
      </c>
      <c r="D10" s="66" t="s">
        <v>554</v>
      </c>
      <c r="E10" s="148" t="s">
        <v>502</v>
      </c>
      <c r="F10" s="139" t="s">
        <v>24</v>
      </c>
      <c r="G10" s="148" t="s">
        <v>561</v>
      </c>
      <c r="H10" s="66" t="s">
        <v>537</v>
      </c>
      <c r="I10" s="66" t="s">
        <v>538</v>
      </c>
      <c r="J10" s="66" t="s">
        <v>539</v>
      </c>
      <c r="K10" s="66" t="s">
        <v>540</v>
      </c>
      <c r="L10" s="138" t="s">
        <v>566</v>
      </c>
      <c r="M10" s="67" t="s">
        <v>568</v>
      </c>
      <c r="N10" s="138" t="s">
        <v>567</v>
      </c>
      <c r="O10" s="139" t="s">
        <v>569</v>
      </c>
      <c r="P10" s="67" t="s">
        <v>570</v>
      </c>
      <c r="Q10" s="67" t="s">
        <v>541</v>
      </c>
      <c r="R10" s="189">
        <v>4.0500000000000001E-2</v>
      </c>
      <c r="S10" s="67" t="s">
        <v>542</v>
      </c>
      <c r="T10" s="67" t="s">
        <v>543</v>
      </c>
      <c r="U10" s="189">
        <v>4.0500000000000001E-2</v>
      </c>
      <c r="V10" s="67" t="s">
        <v>544</v>
      </c>
      <c r="W10" s="68" t="s">
        <v>545</v>
      </c>
      <c r="Z10" s="69"/>
    </row>
    <row r="11" spans="2:33" ht="16.5" thickBot="1" x14ac:dyDescent="0.25">
      <c r="B11" s="70" t="s">
        <v>546</v>
      </c>
      <c r="C11" s="71"/>
      <c r="D11" s="107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190"/>
      <c r="S11" s="71"/>
      <c r="T11" s="71"/>
      <c r="U11" s="190"/>
      <c r="V11" s="71"/>
      <c r="W11" s="71"/>
    </row>
    <row r="12" spans="2:33" ht="12.75" x14ac:dyDescent="0.2">
      <c r="B12" s="60" t="s">
        <v>503</v>
      </c>
      <c r="C12" s="60"/>
      <c r="D12" s="113"/>
      <c r="E12" s="61"/>
      <c r="F12" s="61"/>
      <c r="G12" s="61"/>
      <c r="H12" s="61"/>
      <c r="I12" s="61"/>
      <c r="J12" s="61"/>
      <c r="K12" s="61"/>
      <c r="L12" s="72"/>
      <c r="M12" s="72"/>
      <c r="N12" s="72"/>
      <c r="O12" s="72"/>
      <c r="P12" s="73"/>
      <c r="Q12" s="73"/>
      <c r="R12" s="191"/>
      <c r="S12" s="73"/>
      <c r="T12" s="73"/>
      <c r="U12" s="191"/>
      <c r="V12" s="73"/>
      <c r="W12" s="73"/>
    </row>
    <row r="13" spans="2:33" s="185" customFormat="1" ht="12" customHeight="1" x14ac:dyDescent="0.25">
      <c r="B13" s="180" t="s">
        <v>586</v>
      </c>
      <c r="C13" s="180">
        <v>1044</v>
      </c>
      <c r="D13" s="499">
        <v>170</v>
      </c>
      <c r="E13" s="179">
        <v>7488670</v>
      </c>
      <c r="F13" s="181">
        <f>(+G13/E13)-1</f>
        <v>5.5060511412573954E-2</v>
      </c>
      <c r="G13" s="179">
        <v>7901000</v>
      </c>
      <c r="H13" s="182">
        <v>7.0000000000000007E-2</v>
      </c>
      <c r="I13" s="183">
        <f t="shared" ref="I13:I22" si="1">+(G13*H13)+G13</f>
        <v>8454070</v>
      </c>
      <c r="J13" s="182">
        <v>0.1</v>
      </c>
      <c r="K13" s="183">
        <f t="shared" ref="K13:K22" si="2">+(G13*J13)+G13</f>
        <v>8691100</v>
      </c>
      <c r="L13" s="184">
        <v>579</v>
      </c>
      <c r="M13" s="500">
        <v>3956898600</v>
      </c>
      <c r="N13" s="502">
        <v>549</v>
      </c>
      <c r="O13" s="504">
        <v>3675763600</v>
      </c>
      <c r="P13" s="504">
        <f>+M13+O13</f>
        <v>7632662200</v>
      </c>
      <c r="Q13" s="504">
        <f>M13/(1+F13)</f>
        <v>3750399675.8463483</v>
      </c>
      <c r="R13" s="504">
        <f>($Q13*$R$10)+$Q13</f>
        <v>3902290862.7181253</v>
      </c>
      <c r="S13" s="504">
        <f>M13-R13</f>
        <v>54607737.281874657</v>
      </c>
      <c r="T13" s="504">
        <f>O13/(1+F13)</f>
        <v>3483936286.3450193</v>
      </c>
      <c r="U13" s="504">
        <f t="shared" ref="U13:U22" si="3">($T13*$U$10)+$T13</f>
        <v>3625035705.9419928</v>
      </c>
      <c r="V13" s="504">
        <f t="shared" ref="V13:V22" si="4">O13-U13</f>
        <v>50727894.05800724</v>
      </c>
      <c r="W13" s="504">
        <f t="shared" ref="W13:W22" si="5">S13+V13</f>
        <v>105335631.3398819</v>
      </c>
      <c r="Y13" s="186"/>
      <c r="AA13" s="186"/>
      <c r="AB13" s="187"/>
      <c r="AC13" s="187"/>
      <c r="AD13" s="187"/>
      <c r="AE13" s="187"/>
      <c r="AF13" s="187"/>
      <c r="AG13" s="186"/>
    </row>
    <row r="14" spans="2:33" s="185" customFormat="1" ht="12" customHeight="1" x14ac:dyDescent="0.25">
      <c r="B14" s="180" t="s">
        <v>585</v>
      </c>
      <c r="C14" s="180">
        <v>1044</v>
      </c>
      <c r="D14" s="499"/>
      <c r="E14" s="179">
        <v>7098522</v>
      </c>
      <c r="F14" s="192">
        <f t="shared" ref="F14:F22" si="6">(+G14/E14)-1</f>
        <v>5.5008352442945219E-2</v>
      </c>
      <c r="G14" s="179">
        <v>7489000</v>
      </c>
      <c r="H14" s="182">
        <v>7.0000000000000007E-2</v>
      </c>
      <c r="I14" s="183">
        <f t="shared" si="1"/>
        <v>8013230</v>
      </c>
      <c r="J14" s="182">
        <v>0.1</v>
      </c>
      <c r="K14" s="183">
        <f t="shared" si="2"/>
        <v>8237900</v>
      </c>
      <c r="L14" s="188"/>
      <c r="M14" s="501"/>
      <c r="N14" s="503"/>
      <c r="O14" s="505"/>
      <c r="P14" s="505"/>
      <c r="Q14" s="505"/>
      <c r="R14" s="505"/>
      <c r="S14" s="505"/>
      <c r="T14" s="505"/>
      <c r="U14" s="505"/>
      <c r="V14" s="505"/>
      <c r="W14" s="505"/>
      <c r="Y14" s="186"/>
      <c r="AA14" s="186"/>
      <c r="AB14" s="187"/>
      <c r="AC14" s="187"/>
      <c r="AD14" s="187"/>
      <c r="AE14" s="187"/>
      <c r="AF14" s="187"/>
      <c r="AG14" s="186"/>
    </row>
    <row r="15" spans="2:33" s="185" customFormat="1" ht="12" customHeight="1" x14ac:dyDescent="0.25">
      <c r="B15" s="180" t="s">
        <v>587</v>
      </c>
      <c r="C15" s="180">
        <v>8114</v>
      </c>
      <c r="D15" s="506">
        <v>175</v>
      </c>
      <c r="E15" s="179">
        <v>7488670</v>
      </c>
      <c r="F15" s="181">
        <f t="shared" si="6"/>
        <v>5.5060511412573954E-2</v>
      </c>
      <c r="G15" s="179">
        <v>7901000</v>
      </c>
      <c r="H15" s="182">
        <v>7.0000000000000007E-2</v>
      </c>
      <c r="I15" s="183">
        <f t="shared" si="1"/>
        <v>8454070</v>
      </c>
      <c r="J15" s="182">
        <v>0.1</v>
      </c>
      <c r="K15" s="183">
        <f t="shared" si="2"/>
        <v>8691100</v>
      </c>
      <c r="L15" s="502">
        <v>664</v>
      </c>
      <c r="M15" s="507">
        <v>4696452000</v>
      </c>
      <c r="N15" s="502">
        <v>646</v>
      </c>
      <c r="O15" s="504">
        <v>4558266000</v>
      </c>
      <c r="P15" s="504">
        <f>+M15+O15</f>
        <v>9254718000</v>
      </c>
      <c r="Q15" s="504">
        <f>M15/(1+F15)</f>
        <v>4451357954.5424633</v>
      </c>
      <c r="R15" s="504">
        <f>($Q15*$R$10)+$Q15</f>
        <v>4631637951.7014332</v>
      </c>
      <c r="S15" s="504">
        <f t="shared" ref="S15:S22" si="7">M15-R15</f>
        <v>64814048.298566818</v>
      </c>
      <c r="T15" s="504">
        <f>O15/(1+F15)</f>
        <v>4320383476.2966709</v>
      </c>
      <c r="U15" s="504">
        <f t="shared" si="3"/>
        <v>4495359007.0866861</v>
      </c>
      <c r="V15" s="504">
        <f t="shared" si="4"/>
        <v>62906992.913313866</v>
      </c>
      <c r="W15" s="504">
        <f t="shared" si="5"/>
        <v>127721041.21188068</v>
      </c>
      <c r="Y15" s="186"/>
      <c r="AA15" s="186"/>
      <c r="AB15" s="187"/>
      <c r="AC15" s="187"/>
      <c r="AD15" s="187"/>
      <c r="AE15" s="187"/>
      <c r="AF15" s="187"/>
      <c r="AG15" s="186"/>
    </row>
    <row r="16" spans="2:33" s="185" customFormat="1" ht="12" customHeight="1" x14ac:dyDescent="0.25">
      <c r="B16" s="180" t="s">
        <v>588</v>
      </c>
      <c r="C16" s="180">
        <v>8114</v>
      </c>
      <c r="D16" s="506"/>
      <c r="E16" s="179">
        <v>7164532</v>
      </c>
      <c r="F16" s="181">
        <f t="shared" si="6"/>
        <v>5.5058446246035286E-2</v>
      </c>
      <c r="G16" s="179">
        <v>7559000</v>
      </c>
      <c r="H16" s="182">
        <v>7.0000000000000007E-2</v>
      </c>
      <c r="I16" s="183">
        <f t="shared" si="1"/>
        <v>8088130</v>
      </c>
      <c r="J16" s="182">
        <v>0.1</v>
      </c>
      <c r="K16" s="183">
        <f t="shared" si="2"/>
        <v>8314900</v>
      </c>
      <c r="L16" s="503"/>
      <c r="M16" s="507"/>
      <c r="N16" s="503"/>
      <c r="O16" s="505"/>
      <c r="P16" s="505"/>
      <c r="Q16" s="505"/>
      <c r="R16" s="505"/>
      <c r="S16" s="505"/>
      <c r="T16" s="505"/>
      <c r="U16" s="505"/>
      <c r="V16" s="505"/>
      <c r="W16" s="505"/>
      <c r="Y16" s="186"/>
      <c r="AA16" s="186"/>
      <c r="AB16" s="187"/>
      <c r="AC16" s="187"/>
      <c r="AD16" s="187"/>
      <c r="AE16" s="187"/>
      <c r="AF16" s="187"/>
      <c r="AG16" s="186"/>
    </row>
    <row r="17" spans="2:33" s="185" customFormat="1" ht="12" customHeight="1" x14ac:dyDescent="0.25">
      <c r="B17" s="180" t="s">
        <v>589</v>
      </c>
      <c r="C17" s="180">
        <v>1043</v>
      </c>
      <c r="D17" s="499">
        <v>170</v>
      </c>
      <c r="E17" s="179">
        <v>7488670</v>
      </c>
      <c r="F17" s="181">
        <f t="shared" si="6"/>
        <v>5.5060511412573954E-2</v>
      </c>
      <c r="G17" s="179">
        <v>7901000</v>
      </c>
      <c r="H17" s="182">
        <v>7.0000000000000007E-2</v>
      </c>
      <c r="I17" s="183">
        <f t="shared" si="1"/>
        <v>8454070</v>
      </c>
      <c r="J17" s="182">
        <v>0.1</v>
      </c>
      <c r="K17" s="183">
        <f t="shared" si="2"/>
        <v>8691100</v>
      </c>
      <c r="L17" s="502">
        <v>221</v>
      </c>
      <c r="M17" s="507">
        <v>1473933700</v>
      </c>
      <c r="N17" s="502">
        <v>228</v>
      </c>
      <c r="O17" s="504">
        <v>1522044000</v>
      </c>
      <c r="P17" s="504">
        <f>+M17+O17</f>
        <v>2995977700</v>
      </c>
      <c r="Q17" s="504">
        <f>M17/(1+F17)</f>
        <v>1397013426.2978103</v>
      </c>
      <c r="R17" s="504">
        <f>($Q17*$R$10)+$Q17</f>
        <v>1453592470.0628717</v>
      </c>
      <c r="S17" s="504">
        <f t="shared" si="7"/>
        <v>20341229.937128305</v>
      </c>
      <c r="T17" s="504">
        <f>O17/(1+F17)</f>
        <v>1442612990.9479811</v>
      </c>
      <c r="U17" s="504">
        <f t="shared" si="3"/>
        <v>1501038817.0813744</v>
      </c>
      <c r="V17" s="504">
        <f t="shared" si="4"/>
        <v>21005182.918625593</v>
      </c>
      <c r="W17" s="504">
        <f t="shared" si="5"/>
        <v>41346412.855753899</v>
      </c>
      <c r="Y17" s="186"/>
      <c r="AA17" s="186"/>
      <c r="AB17" s="187"/>
      <c r="AC17" s="187"/>
      <c r="AD17" s="187"/>
      <c r="AE17" s="187"/>
      <c r="AF17" s="187"/>
      <c r="AG17" s="186"/>
    </row>
    <row r="18" spans="2:33" s="185" customFormat="1" ht="12" customHeight="1" x14ac:dyDescent="0.25">
      <c r="B18" s="180" t="s">
        <v>590</v>
      </c>
      <c r="C18" s="180">
        <v>1043</v>
      </c>
      <c r="D18" s="499"/>
      <c r="E18" s="179">
        <v>7098522</v>
      </c>
      <c r="F18" s="192">
        <f t="shared" si="6"/>
        <v>5.5008352442945219E-2</v>
      </c>
      <c r="G18" s="179">
        <v>7489000</v>
      </c>
      <c r="H18" s="182">
        <v>7.0000000000000007E-2</v>
      </c>
      <c r="I18" s="183">
        <f t="shared" si="1"/>
        <v>8013230</v>
      </c>
      <c r="J18" s="182">
        <v>0.1</v>
      </c>
      <c r="K18" s="183">
        <f t="shared" si="2"/>
        <v>8237900</v>
      </c>
      <c r="L18" s="503"/>
      <c r="M18" s="507"/>
      <c r="N18" s="503"/>
      <c r="O18" s="505"/>
      <c r="P18" s="505"/>
      <c r="Q18" s="505"/>
      <c r="R18" s="505"/>
      <c r="S18" s="505"/>
      <c r="T18" s="505"/>
      <c r="U18" s="505"/>
      <c r="V18" s="505"/>
      <c r="W18" s="505"/>
      <c r="Y18" s="186"/>
      <c r="AA18" s="186"/>
      <c r="AB18" s="187"/>
      <c r="AC18" s="187"/>
      <c r="AD18" s="187"/>
      <c r="AE18" s="187"/>
      <c r="AF18" s="187"/>
      <c r="AG18" s="186"/>
    </row>
    <row r="19" spans="2:33" s="185" customFormat="1" ht="12" customHeight="1" x14ac:dyDescent="0.25">
      <c r="B19" s="180" t="s">
        <v>591</v>
      </c>
      <c r="C19" s="180">
        <v>1042</v>
      </c>
      <c r="D19" s="506">
        <v>170</v>
      </c>
      <c r="E19" s="179">
        <v>7488670</v>
      </c>
      <c r="F19" s="181">
        <f t="shared" si="6"/>
        <v>5.5060511412573954E-2</v>
      </c>
      <c r="G19" s="179">
        <v>7901000</v>
      </c>
      <c r="H19" s="182">
        <v>7.0000000000000007E-2</v>
      </c>
      <c r="I19" s="183">
        <f t="shared" si="1"/>
        <v>8454070</v>
      </c>
      <c r="J19" s="182">
        <v>0.1</v>
      </c>
      <c r="K19" s="183">
        <f t="shared" si="2"/>
        <v>8691100</v>
      </c>
      <c r="L19" s="502">
        <v>169</v>
      </c>
      <c r="M19" s="507">
        <v>1092805000</v>
      </c>
      <c r="N19" s="502">
        <v>161</v>
      </c>
      <c r="O19" s="504">
        <v>1045037600</v>
      </c>
      <c r="P19" s="504">
        <f>+M19+O19</f>
        <v>2137842600</v>
      </c>
      <c r="Q19" s="504">
        <f>M19/(1+F19)</f>
        <v>1035774714.5108213</v>
      </c>
      <c r="R19" s="504">
        <f>($Q19*$R$10)+$Q19</f>
        <v>1077723590.4485097</v>
      </c>
      <c r="S19" s="504">
        <f t="shared" si="7"/>
        <v>15081409.551490307</v>
      </c>
      <c r="T19" s="504">
        <f>O19/(1+F19)</f>
        <v>990500154.91608655</v>
      </c>
      <c r="U19" s="504">
        <f t="shared" si="3"/>
        <v>1030615411.1901881</v>
      </c>
      <c r="V19" s="504">
        <f t="shared" si="4"/>
        <v>14422188.80981195</v>
      </c>
      <c r="W19" s="504">
        <f t="shared" si="5"/>
        <v>29503598.361302257</v>
      </c>
      <c r="Y19" s="186"/>
      <c r="AA19" s="186"/>
      <c r="AB19" s="187"/>
      <c r="AC19" s="187"/>
      <c r="AD19" s="187"/>
      <c r="AE19" s="187"/>
      <c r="AF19" s="187"/>
      <c r="AG19" s="186"/>
    </row>
    <row r="20" spans="2:33" s="185" customFormat="1" ht="13.5" customHeight="1" x14ac:dyDescent="0.25">
      <c r="B20" s="180" t="s">
        <v>599</v>
      </c>
      <c r="C20" s="180">
        <v>1042</v>
      </c>
      <c r="D20" s="506"/>
      <c r="E20" s="179">
        <v>7098522</v>
      </c>
      <c r="F20" s="181">
        <f t="shared" si="6"/>
        <v>5.5008352442945219E-2</v>
      </c>
      <c r="G20" s="179">
        <v>7489000</v>
      </c>
      <c r="H20" s="182">
        <v>7.0000000000000007E-2</v>
      </c>
      <c r="I20" s="183">
        <f t="shared" si="1"/>
        <v>8013230</v>
      </c>
      <c r="J20" s="182">
        <v>0.1</v>
      </c>
      <c r="K20" s="183">
        <f t="shared" si="2"/>
        <v>8237900</v>
      </c>
      <c r="L20" s="503"/>
      <c r="M20" s="507"/>
      <c r="N20" s="503"/>
      <c r="O20" s="505"/>
      <c r="P20" s="505"/>
      <c r="Q20" s="505"/>
      <c r="R20" s="505"/>
      <c r="S20" s="505"/>
      <c r="T20" s="505"/>
      <c r="U20" s="505"/>
      <c r="V20" s="505"/>
      <c r="W20" s="505"/>
      <c r="Y20" s="186"/>
      <c r="AA20" s="186"/>
      <c r="AB20" s="187"/>
      <c r="AC20" s="187"/>
      <c r="AD20" s="187"/>
      <c r="AE20" s="187"/>
      <c r="AF20" s="187"/>
      <c r="AG20" s="186"/>
    </row>
    <row r="21" spans="2:33" s="185" customFormat="1" ht="12" customHeight="1" x14ac:dyDescent="0.25">
      <c r="B21" s="180" t="s">
        <v>576</v>
      </c>
      <c r="C21" s="180">
        <v>53052</v>
      </c>
      <c r="D21" s="267">
        <v>144</v>
      </c>
      <c r="E21" s="179">
        <v>4453202</v>
      </c>
      <c r="F21" s="181">
        <f t="shared" si="6"/>
        <v>5.5195789456665034E-2</v>
      </c>
      <c r="G21" s="179">
        <v>4699000</v>
      </c>
      <c r="H21" s="182">
        <v>7.0000000000000007E-2</v>
      </c>
      <c r="I21" s="183">
        <f t="shared" si="1"/>
        <v>5027930</v>
      </c>
      <c r="J21" s="182">
        <v>0.1</v>
      </c>
      <c r="K21" s="183">
        <f t="shared" si="2"/>
        <v>5168900</v>
      </c>
      <c r="L21" s="193">
        <v>30</v>
      </c>
      <c r="M21" s="179">
        <v>180858700</v>
      </c>
      <c r="N21" s="193">
        <v>25</v>
      </c>
      <c r="O21" s="194">
        <v>147858300</v>
      </c>
      <c r="P21" s="194">
        <f t="shared" ref="P21" si="8">+M21+O21</f>
        <v>328717000</v>
      </c>
      <c r="Q21" s="194">
        <f>M21/(1+F21)</f>
        <v>171398238.89282829</v>
      </c>
      <c r="R21" s="194">
        <f t="shared" ref="R21:R22" si="9">($Q21*$R$10)+$Q21</f>
        <v>178339867.56798783</v>
      </c>
      <c r="S21" s="194">
        <f t="shared" si="7"/>
        <v>2518832.4320121706</v>
      </c>
      <c r="T21" s="194">
        <f>O21/(1+F21)</f>
        <v>140124042.83392212</v>
      </c>
      <c r="U21" s="194">
        <f t="shared" si="3"/>
        <v>145799066.56869596</v>
      </c>
      <c r="V21" s="194">
        <f t="shared" si="4"/>
        <v>2059233.4313040376</v>
      </c>
      <c r="W21" s="194">
        <f t="shared" si="5"/>
        <v>4578065.8633162081</v>
      </c>
      <c r="Y21" s="186"/>
      <c r="AA21" s="186"/>
      <c r="AB21" s="187"/>
      <c r="AC21" s="187"/>
      <c r="AD21" s="187"/>
      <c r="AE21" s="187"/>
      <c r="AF21" s="187"/>
      <c r="AG21" s="186"/>
    </row>
    <row r="22" spans="2:33" s="185" customFormat="1" ht="12" customHeight="1" x14ac:dyDescent="0.25">
      <c r="B22" s="180" t="s">
        <v>577</v>
      </c>
      <c r="C22" s="180">
        <v>54562</v>
      </c>
      <c r="D22" s="267">
        <v>170</v>
      </c>
      <c r="E22" s="179">
        <v>6442365</v>
      </c>
      <c r="F22" s="181">
        <f t="shared" si="6"/>
        <v>5.5047331220755114E-2</v>
      </c>
      <c r="G22" s="179">
        <v>6797000</v>
      </c>
      <c r="H22" s="182">
        <v>7.0000000000000007E-2</v>
      </c>
      <c r="I22" s="183">
        <f t="shared" si="1"/>
        <v>7272790</v>
      </c>
      <c r="J22" s="182">
        <v>0.1</v>
      </c>
      <c r="K22" s="183">
        <f t="shared" si="2"/>
        <v>7476700</v>
      </c>
      <c r="L22" s="195">
        <v>163</v>
      </c>
      <c r="M22" s="179">
        <v>738212900</v>
      </c>
      <c r="N22" s="195">
        <v>175</v>
      </c>
      <c r="O22" s="194">
        <v>803059100</v>
      </c>
      <c r="P22" s="194">
        <f>+M22+O22</f>
        <v>1541272000</v>
      </c>
      <c r="Q22" s="194">
        <f>M22/(1+F22)</f>
        <v>699696476.31432986</v>
      </c>
      <c r="R22" s="194">
        <f t="shared" si="9"/>
        <v>728034183.60506022</v>
      </c>
      <c r="S22" s="194">
        <f t="shared" si="7"/>
        <v>10178716.39493978</v>
      </c>
      <c r="T22" s="194">
        <f>O22/(1+F22)</f>
        <v>761159311.28019714</v>
      </c>
      <c r="U22" s="194">
        <f t="shared" si="3"/>
        <v>791986263.38704515</v>
      </c>
      <c r="V22" s="194">
        <f t="shared" si="4"/>
        <v>11072836.612954855</v>
      </c>
      <c r="W22" s="194">
        <f t="shared" si="5"/>
        <v>21251553.007894635</v>
      </c>
      <c r="Y22" s="186"/>
      <c r="AA22" s="186"/>
      <c r="AB22" s="187"/>
      <c r="AC22" s="187"/>
      <c r="AD22" s="187"/>
      <c r="AE22" s="187"/>
      <c r="AF22" s="187"/>
      <c r="AG22" s="186"/>
    </row>
    <row r="23" spans="2:33" ht="12.75" x14ac:dyDescent="0.2">
      <c r="B23" s="60" t="s">
        <v>504</v>
      </c>
      <c r="C23" s="60"/>
      <c r="D23" s="113"/>
      <c r="E23" s="158"/>
      <c r="F23" s="178"/>
      <c r="G23" s="159"/>
      <c r="H23" s="62"/>
      <c r="I23" s="62"/>
      <c r="J23" s="62"/>
      <c r="K23" s="118"/>
      <c r="L23" s="120"/>
      <c r="M23" s="119"/>
      <c r="N23" s="62"/>
      <c r="O23" s="62"/>
      <c r="P23" s="62"/>
      <c r="Q23" s="62"/>
      <c r="R23" s="62"/>
      <c r="S23" s="62"/>
      <c r="T23" s="62"/>
      <c r="U23" s="62"/>
      <c r="V23" s="62"/>
      <c r="W23" s="62"/>
      <c r="Y23" s="122"/>
      <c r="AA23" s="122"/>
      <c r="AB23" s="121"/>
      <c r="AC23" s="121"/>
      <c r="AD23" s="121"/>
      <c r="AE23" s="121"/>
      <c r="AF23" s="121"/>
      <c r="AG23" s="122"/>
    </row>
    <row r="24" spans="2:33" s="185" customFormat="1" ht="15.75" x14ac:dyDescent="0.25">
      <c r="B24" s="180" t="s">
        <v>600</v>
      </c>
      <c r="C24" s="180">
        <v>1041</v>
      </c>
      <c r="D24" s="499">
        <v>162</v>
      </c>
      <c r="E24" s="179">
        <v>5600000</v>
      </c>
      <c r="F24" s="181">
        <v>5.4999999999999938E-2</v>
      </c>
      <c r="G24" s="234">
        <v>5908000</v>
      </c>
      <c r="H24" s="182">
        <v>7.0000000000000007E-2</v>
      </c>
      <c r="I24" s="183">
        <f t="shared" ref="I24:I38" si="10">+(G24*H24)+G24</f>
        <v>6321560</v>
      </c>
      <c r="J24" s="182">
        <v>0.1</v>
      </c>
      <c r="K24" s="183">
        <f t="shared" ref="K24:K38" si="11">+(G24*J24)+G24</f>
        <v>6498800</v>
      </c>
      <c r="L24" s="502">
        <v>127</v>
      </c>
      <c r="M24" s="512">
        <v>438612300</v>
      </c>
      <c r="N24" s="502">
        <v>99</v>
      </c>
      <c r="O24" s="508">
        <v>378189000</v>
      </c>
      <c r="P24" s="504">
        <f>+M24+O24</f>
        <v>816801300</v>
      </c>
      <c r="Q24" s="504">
        <f>M24/(1+F24)</f>
        <v>415746255.92417061</v>
      </c>
      <c r="R24" s="508">
        <f t="shared" ref="R24:R37" si="12">($Q24*$R$10)+$Q24</f>
        <v>432583979.28909951</v>
      </c>
      <c r="S24" s="504">
        <f t="shared" ref="S24:S34" si="13">M24-R24</f>
        <v>6028320.7109004855</v>
      </c>
      <c r="T24" s="504">
        <f>O24/(1+F24)</f>
        <v>358472985.78199053</v>
      </c>
      <c r="U24" s="508">
        <f t="shared" ref="U24:U37" si="14">($T24*$U$10)+$T24</f>
        <v>372991141.70616114</v>
      </c>
      <c r="V24" s="504">
        <f t="shared" ref="V24:V34" si="15">O24-U24</f>
        <v>5197858.2938388586</v>
      </c>
      <c r="W24" s="504">
        <f t="shared" ref="W24:W37" si="16">S24+V24</f>
        <v>11226179.004739344</v>
      </c>
      <c r="Y24" s="186"/>
      <c r="AA24" s="186"/>
      <c r="AB24" s="187"/>
      <c r="AC24" s="187"/>
      <c r="AD24" s="187"/>
      <c r="AE24" s="187"/>
      <c r="AF24" s="187"/>
      <c r="AG24" s="186"/>
    </row>
    <row r="25" spans="2:33" s="185" customFormat="1" ht="15.75" x14ac:dyDescent="0.25">
      <c r="B25" s="180" t="s">
        <v>601</v>
      </c>
      <c r="C25" s="180">
        <v>1041</v>
      </c>
      <c r="D25" s="499"/>
      <c r="E25" s="179">
        <v>4120197</v>
      </c>
      <c r="F25" s="181">
        <v>5.5046639760186311E-2</v>
      </c>
      <c r="G25" s="179">
        <v>4347000</v>
      </c>
      <c r="H25" s="182">
        <v>7.0000000000000007E-2</v>
      </c>
      <c r="I25" s="183">
        <f t="shared" si="10"/>
        <v>4651290</v>
      </c>
      <c r="J25" s="182">
        <v>0.1</v>
      </c>
      <c r="K25" s="183">
        <f t="shared" si="11"/>
        <v>4781700</v>
      </c>
      <c r="L25" s="503"/>
      <c r="M25" s="512"/>
      <c r="N25" s="503"/>
      <c r="O25" s="509"/>
      <c r="P25" s="505"/>
      <c r="Q25" s="505"/>
      <c r="R25" s="509"/>
      <c r="S25" s="505"/>
      <c r="T25" s="505"/>
      <c r="U25" s="509"/>
      <c r="V25" s="505"/>
      <c r="W25" s="505"/>
      <c r="Y25" s="186"/>
      <c r="AA25" s="186"/>
      <c r="AB25" s="187"/>
      <c r="AC25" s="187"/>
      <c r="AD25" s="187"/>
      <c r="AE25" s="187"/>
      <c r="AF25" s="187"/>
      <c r="AG25" s="186"/>
    </row>
    <row r="26" spans="2:33" s="185" customFormat="1" ht="15.75" x14ac:dyDescent="0.25">
      <c r="B26" s="180" t="s">
        <v>602</v>
      </c>
      <c r="C26" s="180">
        <v>1041</v>
      </c>
      <c r="D26" s="499">
        <v>160</v>
      </c>
      <c r="E26" s="179">
        <v>5600000</v>
      </c>
      <c r="F26" s="181">
        <v>5.4999999999999938E-2</v>
      </c>
      <c r="G26" s="234">
        <v>5908000</v>
      </c>
      <c r="H26" s="182">
        <v>7.0000000000000007E-2</v>
      </c>
      <c r="I26" s="183">
        <f t="shared" si="10"/>
        <v>6321560</v>
      </c>
      <c r="J26" s="182">
        <v>0.1</v>
      </c>
      <c r="K26" s="183">
        <f t="shared" si="11"/>
        <v>6498800</v>
      </c>
      <c r="L26" s="502">
        <v>44</v>
      </c>
      <c r="M26" s="512">
        <v>212040400</v>
      </c>
      <c r="N26" s="502">
        <v>54</v>
      </c>
      <c r="O26" s="508">
        <v>259124000</v>
      </c>
      <c r="P26" s="504">
        <f>+M26+O26</f>
        <v>471164400</v>
      </c>
      <c r="Q26" s="504">
        <f>M26/(1+F26)</f>
        <v>200986161.13744077</v>
      </c>
      <c r="R26" s="508">
        <f t="shared" si="12"/>
        <v>209126100.66350713</v>
      </c>
      <c r="S26" s="504">
        <f t="shared" si="13"/>
        <v>2914299.3364928663</v>
      </c>
      <c r="T26" s="504">
        <f>O26/(1+F26)</f>
        <v>245615165.87677726</v>
      </c>
      <c r="U26" s="508">
        <f t="shared" si="14"/>
        <v>255562580.09478673</v>
      </c>
      <c r="V26" s="504">
        <f t="shared" si="15"/>
        <v>3561419.9052132666</v>
      </c>
      <c r="W26" s="504">
        <f t="shared" si="16"/>
        <v>6475719.2417061329</v>
      </c>
      <c r="Y26" s="186"/>
      <c r="AA26" s="186"/>
      <c r="AB26" s="187"/>
      <c r="AC26" s="187"/>
      <c r="AD26" s="187"/>
      <c r="AE26" s="187"/>
      <c r="AF26" s="187"/>
      <c r="AG26" s="186"/>
    </row>
    <row r="27" spans="2:33" s="185" customFormat="1" ht="15.75" x14ac:dyDescent="0.25">
      <c r="B27" s="180" t="s">
        <v>603</v>
      </c>
      <c r="C27" s="180">
        <v>1041</v>
      </c>
      <c r="D27" s="499"/>
      <c r="E27" s="179">
        <v>4297537</v>
      </c>
      <c r="F27" s="181">
        <v>5.5022911960967313E-2</v>
      </c>
      <c r="G27" s="179">
        <v>4534000</v>
      </c>
      <c r="H27" s="182">
        <v>7.0000000000000007E-2</v>
      </c>
      <c r="I27" s="183">
        <f t="shared" si="10"/>
        <v>4851380</v>
      </c>
      <c r="J27" s="182">
        <v>0.1</v>
      </c>
      <c r="K27" s="183">
        <f t="shared" si="11"/>
        <v>4987400</v>
      </c>
      <c r="L27" s="503"/>
      <c r="M27" s="512"/>
      <c r="N27" s="503"/>
      <c r="O27" s="509"/>
      <c r="P27" s="505"/>
      <c r="Q27" s="505"/>
      <c r="R27" s="509"/>
      <c r="S27" s="505"/>
      <c r="T27" s="505"/>
      <c r="U27" s="509"/>
      <c r="V27" s="505"/>
      <c r="W27" s="505"/>
      <c r="Y27" s="186"/>
      <c r="AA27" s="186"/>
      <c r="AB27" s="187"/>
      <c r="AC27" s="187"/>
      <c r="AD27" s="187"/>
      <c r="AE27" s="187"/>
      <c r="AF27" s="187"/>
      <c r="AG27" s="186"/>
    </row>
    <row r="28" spans="2:33" s="185" customFormat="1" ht="15.75" x14ac:dyDescent="0.25">
      <c r="B28" s="180" t="s">
        <v>604</v>
      </c>
      <c r="C28" s="180">
        <v>1040</v>
      </c>
      <c r="D28" s="499">
        <v>160</v>
      </c>
      <c r="E28" s="179">
        <v>7642365</v>
      </c>
      <c r="F28" s="181">
        <v>5.5039899298188422E-2</v>
      </c>
      <c r="G28" s="234">
        <v>8063000</v>
      </c>
      <c r="H28" s="182">
        <v>7.0000000000000007E-2</v>
      </c>
      <c r="I28" s="183">
        <f t="shared" si="10"/>
        <v>8627410</v>
      </c>
      <c r="J28" s="182">
        <v>0.1</v>
      </c>
      <c r="K28" s="183">
        <f t="shared" si="11"/>
        <v>8869300</v>
      </c>
      <c r="L28" s="502">
        <v>604</v>
      </c>
      <c r="M28" s="508">
        <v>4380809600</v>
      </c>
      <c r="N28" s="514">
        <v>612</v>
      </c>
      <c r="O28" s="508">
        <v>4482548300</v>
      </c>
      <c r="P28" s="504">
        <f>+M28+O28</f>
        <v>8863357900</v>
      </c>
      <c r="Q28" s="504">
        <f>M28/(1+F28)</f>
        <v>4152269125.4748855</v>
      </c>
      <c r="R28" s="508">
        <f t="shared" si="12"/>
        <v>4320436025.0566187</v>
      </c>
      <c r="S28" s="504">
        <f t="shared" si="13"/>
        <v>60373574.94338131</v>
      </c>
      <c r="T28" s="504">
        <f>O28/(1+F28)</f>
        <v>4248700265.2523255</v>
      </c>
      <c r="U28" s="504">
        <f t="shared" si="14"/>
        <v>4420772625.9950447</v>
      </c>
      <c r="V28" s="504">
        <f t="shared" si="15"/>
        <v>61775674.004955292</v>
      </c>
      <c r="W28" s="504">
        <f t="shared" si="16"/>
        <v>122149248.9483366</v>
      </c>
      <c r="Y28" s="186"/>
      <c r="AA28" s="186"/>
      <c r="AB28" s="187"/>
      <c r="AC28" s="187"/>
      <c r="AD28" s="187"/>
      <c r="AE28" s="187"/>
      <c r="AF28" s="187"/>
      <c r="AG28" s="186"/>
    </row>
    <row r="29" spans="2:33" s="185" customFormat="1" ht="15.75" x14ac:dyDescent="0.25">
      <c r="B29" s="180" t="s">
        <v>605</v>
      </c>
      <c r="C29" s="180">
        <v>1040</v>
      </c>
      <c r="D29" s="499"/>
      <c r="E29" s="179">
        <v>7306404</v>
      </c>
      <c r="F29" s="181">
        <v>5.510179836756901E-2</v>
      </c>
      <c r="G29" s="179">
        <v>7709000</v>
      </c>
      <c r="H29" s="182">
        <v>7.0000000000000007E-2</v>
      </c>
      <c r="I29" s="183">
        <f t="shared" si="10"/>
        <v>8248630</v>
      </c>
      <c r="J29" s="182">
        <v>0.1</v>
      </c>
      <c r="K29" s="183">
        <f t="shared" si="11"/>
        <v>8479900</v>
      </c>
      <c r="L29" s="513"/>
      <c r="M29" s="510"/>
      <c r="N29" s="515"/>
      <c r="O29" s="510"/>
      <c r="P29" s="511"/>
      <c r="Q29" s="511"/>
      <c r="R29" s="510"/>
      <c r="S29" s="511"/>
      <c r="T29" s="511"/>
      <c r="U29" s="511"/>
      <c r="V29" s="511"/>
      <c r="W29" s="511"/>
      <c r="Y29" s="186"/>
      <c r="AA29" s="186"/>
      <c r="AB29" s="187"/>
      <c r="AC29" s="187"/>
      <c r="AD29" s="187"/>
      <c r="AE29" s="187"/>
      <c r="AF29" s="187"/>
      <c r="AG29" s="186"/>
    </row>
    <row r="30" spans="2:33" s="185" customFormat="1" ht="15.75" x14ac:dyDescent="0.25">
      <c r="B30" s="180" t="s">
        <v>606</v>
      </c>
      <c r="C30" s="180">
        <v>1040</v>
      </c>
      <c r="D30" s="499"/>
      <c r="E30" s="179">
        <v>6963547</v>
      </c>
      <c r="F30" s="181">
        <v>5.506575887259757E-2</v>
      </c>
      <c r="G30" s="179">
        <v>7347000</v>
      </c>
      <c r="H30" s="182">
        <v>7.0000000000000007E-2</v>
      </c>
      <c r="I30" s="183">
        <f t="shared" si="10"/>
        <v>7861290</v>
      </c>
      <c r="J30" s="182">
        <v>0.1</v>
      </c>
      <c r="K30" s="183">
        <f t="shared" si="11"/>
        <v>8081700</v>
      </c>
      <c r="L30" s="503"/>
      <c r="M30" s="509"/>
      <c r="N30" s="516"/>
      <c r="O30" s="509"/>
      <c r="P30" s="505"/>
      <c r="Q30" s="505"/>
      <c r="R30" s="509"/>
      <c r="S30" s="505"/>
      <c r="T30" s="505"/>
      <c r="U30" s="505"/>
      <c r="V30" s="505"/>
      <c r="W30" s="505"/>
      <c r="Y30" s="186"/>
      <c r="AA30" s="186"/>
      <c r="AB30" s="187"/>
      <c r="AC30" s="187"/>
      <c r="AD30" s="187"/>
      <c r="AE30" s="187"/>
      <c r="AF30" s="187"/>
      <c r="AG30" s="186"/>
    </row>
    <row r="31" spans="2:33" s="185" customFormat="1" ht="15.75" x14ac:dyDescent="0.25">
      <c r="B31" s="180" t="s">
        <v>607</v>
      </c>
      <c r="C31" s="180">
        <v>10233</v>
      </c>
      <c r="D31" s="506">
        <v>162</v>
      </c>
      <c r="E31" s="179">
        <v>7642365</v>
      </c>
      <c r="F31" s="181">
        <v>5.5039899298188422E-2</v>
      </c>
      <c r="G31" s="179">
        <v>8063000</v>
      </c>
      <c r="H31" s="182">
        <v>7.0000000000000007E-2</v>
      </c>
      <c r="I31" s="183">
        <f t="shared" si="10"/>
        <v>8627410</v>
      </c>
      <c r="J31" s="182">
        <v>0.1</v>
      </c>
      <c r="K31" s="183">
        <f t="shared" si="11"/>
        <v>8869300</v>
      </c>
      <c r="L31" s="502">
        <v>212</v>
      </c>
      <c r="M31" s="508">
        <v>1453519400</v>
      </c>
      <c r="N31" s="514">
        <v>217</v>
      </c>
      <c r="O31" s="508">
        <v>1500674400</v>
      </c>
      <c r="P31" s="504">
        <f>+M31+O31</f>
        <v>2954193800</v>
      </c>
      <c r="Q31" s="504">
        <f>M31/(1+F31)</f>
        <v>1377691403.867171</v>
      </c>
      <c r="R31" s="504">
        <f t="shared" si="12"/>
        <v>1433487905.7237916</v>
      </c>
      <c r="S31" s="504">
        <f t="shared" si="13"/>
        <v>20031494.276208401</v>
      </c>
      <c r="T31" s="504">
        <f>O31/(1+F31)</f>
        <v>1422386396.0009923</v>
      </c>
      <c r="U31" s="504">
        <f t="shared" si="14"/>
        <v>1479993045.0390325</v>
      </c>
      <c r="V31" s="504">
        <f t="shared" si="15"/>
        <v>20681354.960967541</v>
      </c>
      <c r="W31" s="504">
        <f t="shared" si="16"/>
        <v>40712849.237175941</v>
      </c>
      <c r="Y31" s="186"/>
      <c r="AA31" s="186"/>
      <c r="AB31" s="187"/>
      <c r="AC31" s="187"/>
      <c r="AD31" s="187"/>
      <c r="AE31" s="187"/>
      <c r="AF31" s="187"/>
      <c r="AG31" s="186"/>
    </row>
    <row r="32" spans="2:33" s="185" customFormat="1" ht="15.75" x14ac:dyDescent="0.25">
      <c r="B32" s="180" t="s">
        <v>608</v>
      </c>
      <c r="C32" s="180">
        <v>10233</v>
      </c>
      <c r="D32" s="506"/>
      <c r="E32" s="179">
        <v>7263054</v>
      </c>
      <c r="F32" s="181">
        <v>5.5065816666102219E-2</v>
      </c>
      <c r="G32" s="179">
        <v>7663000</v>
      </c>
      <c r="H32" s="182">
        <v>7.0000000000000007E-2</v>
      </c>
      <c r="I32" s="183">
        <f t="shared" si="10"/>
        <v>8199410</v>
      </c>
      <c r="J32" s="182">
        <v>0.1</v>
      </c>
      <c r="K32" s="183">
        <f t="shared" si="11"/>
        <v>8429300</v>
      </c>
      <c r="L32" s="513"/>
      <c r="M32" s="510"/>
      <c r="N32" s="515"/>
      <c r="O32" s="510"/>
      <c r="P32" s="511"/>
      <c r="Q32" s="511"/>
      <c r="R32" s="511"/>
      <c r="S32" s="511"/>
      <c r="T32" s="511"/>
      <c r="U32" s="511"/>
      <c r="V32" s="511"/>
      <c r="W32" s="511"/>
      <c r="Y32" s="186"/>
      <c r="AA32" s="186"/>
      <c r="AB32" s="187"/>
      <c r="AC32" s="187"/>
      <c r="AD32" s="187"/>
      <c r="AE32" s="187"/>
      <c r="AF32" s="187"/>
      <c r="AG32" s="186"/>
    </row>
    <row r="33" spans="2:33" s="185" customFormat="1" ht="15.75" x14ac:dyDescent="0.25">
      <c r="B33" s="180" t="s">
        <v>609</v>
      </c>
      <c r="C33" s="180">
        <v>10233</v>
      </c>
      <c r="D33" s="506"/>
      <c r="E33" s="179">
        <v>6922167</v>
      </c>
      <c r="F33" s="181">
        <v>5.5016442105485286E-2</v>
      </c>
      <c r="G33" s="179">
        <v>7303000</v>
      </c>
      <c r="H33" s="182">
        <v>7.0000000000000007E-2</v>
      </c>
      <c r="I33" s="183">
        <f t="shared" si="10"/>
        <v>7814210</v>
      </c>
      <c r="J33" s="182">
        <v>0.1</v>
      </c>
      <c r="K33" s="183">
        <f t="shared" si="11"/>
        <v>8033300</v>
      </c>
      <c r="L33" s="503"/>
      <c r="M33" s="509"/>
      <c r="N33" s="516"/>
      <c r="O33" s="509"/>
      <c r="P33" s="505"/>
      <c r="Q33" s="505"/>
      <c r="R33" s="505"/>
      <c r="S33" s="505"/>
      <c r="T33" s="505"/>
      <c r="U33" s="505"/>
      <c r="V33" s="505"/>
      <c r="W33" s="505"/>
      <c r="Y33" s="186"/>
      <c r="AA33" s="186"/>
      <c r="AB33" s="187"/>
      <c r="AC33" s="187"/>
      <c r="AD33" s="187"/>
      <c r="AE33" s="187"/>
      <c r="AF33" s="187"/>
      <c r="AG33" s="186"/>
    </row>
    <row r="34" spans="2:33" s="185" customFormat="1" ht="15.75" x14ac:dyDescent="0.25">
      <c r="B34" s="180" t="s">
        <v>610</v>
      </c>
      <c r="C34" s="180">
        <v>1040</v>
      </c>
      <c r="D34" s="506">
        <v>160</v>
      </c>
      <c r="E34" s="179">
        <v>5856158</v>
      </c>
      <c r="F34" s="181">
        <v>5.5128635532033066E-2</v>
      </c>
      <c r="G34" s="179">
        <v>6179000</v>
      </c>
      <c r="H34" s="182">
        <v>7.0000000000000007E-2</v>
      </c>
      <c r="I34" s="183">
        <f t="shared" si="10"/>
        <v>6611530</v>
      </c>
      <c r="J34" s="182">
        <v>0.1</v>
      </c>
      <c r="K34" s="183">
        <f t="shared" si="11"/>
        <v>6796900</v>
      </c>
      <c r="L34" s="502">
        <v>351</v>
      </c>
      <c r="M34" s="504">
        <v>1723437600</v>
      </c>
      <c r="N34" s="502">
        <v>360</v>
      </c>
      <c r="O34" s="504">
        <v>1740072100</v>
      </c>
      <c r="P34" s="504">
        <f>+M34+O34</f>
        <v>3463509700</v>
      </c>
      <c r="Q34" s="504">
        <f>M34/(1+F34)</f>
        <v>1633390983.7742031</v>
      </c>
      <c r="R34" s="508">
        <f t="shared" si="12"/>
        <v>1699543318.6170583</v>
      </c>
      <c r="S34" s="504">
        <f t="shared" si="13"/>
        <v>23894281.382941723</v>
      </c>
      <c r="T34" s="504">
        <f>O34/(1+F34)</f>
        <v>1649156360.0893025</v>
      </c>
      <c r="U34" s="504">
        <f t="shared" si="14"/>
        <v>1715947192.6729193</v>
      </c>
      <c r="V34" s="504">
        <f t="shared" si="15"/>
        <v>24124907.327080727</v>
      </c>
      <c r="W34" s="504">
        <f t="shared" si="16"/>
        <v>48019188.710022449</v>
      </c>
      <c r="Y34" s="186"/>
      <c r="AA34" s="186"/>
      <c r="AB34" s="187"/>
      <c r="AC34" s="187"/>
      <c r="AD34" s="187"/>
      <c r="AE34" s="187"/>
      <c r="AF34" s="187"/>
      <c r="AG34" s="186"/>
    </row>
    <row r="35" spans="2:33" s="185" customFormat="1" ht="15.75" x14ac:dyDescent="0.25">
      <c r="B35" s="180" t="s">
        <v>611</v>
      </c>
      <c r="C35" s="180">
        <v>1040</v>
      </c>
      <c r="D35" s="506"/>
      <c r="E35" s="179">
        <v>5599015</v>
      </c>
      <c r="F35" s="181">
        <v>5.5006996766395533E-2</v>
      </c>
      <c r="G35" s="179">
        <v>5907000</v>
      </c>
      <c r="H35" s="182">
        <v>7.0000000000000007E-2</v>
      </c>
      <c r="I35" s="183">
        <f t="shared" si="10"/>
        <v>6320490</v>
      </c>
      <c r="J35" s="182">
        <v>0.1</v>
      </c>
      <c r="K35" s="183">
        <f t="shared" si="11"/>
        <v>6497700</v>
      </c>
      <c r="L35" s="513"/>
      <c r="M35" s="511"/>
      <c r="N35" s="513"/>
      <c r="O35" s="511"/>
      <c r="P35" s="511"/>
      <c r="Q35" s="511"/>
      <c r="R35" s="510"/>
      <c r="S35" s="511"/>
      <c r="T35" s="511"/>
      <c r="U35" s="511"/>
      <c r="V35" s="511"/>
      <c r="W35" s="511"/>
      <c r="Y35" s="186"/>
      <c r="AA35" s="186"/>
      <c r="AB35" s="187"/>
      <c r="AC35" s="187"/>
      <c r="AD35" s="187"/>
      <c r="AE35" s="187"/>
      <c r="AF35" s="187"/>
      <c r="AG35" s="186"/>
    </row>
    <row r="36" spans="2:33" s="185" customFormat="1" ht="15.75" x14ac:dyDescent="0.25">
      <c r="B36" s="180" t="s">
        <v>612</v>
      </c>
      <c r="C36" s="180">
        <v>1040</v>
      </c>
      <c r="D36" s="506"/>
      <c r="E36" s="179">
        <v>5285714</v>
      </c>
      <c r="F36" s="181">
        <v>5.5108165140981935E-2</v>
      </c>
      <c r="G36" s="179">
        <v>5577000</v>
      </c>
      <c r="H36" s="182">
        <v>7.0000000000000007E-2</v>
      </c>
      <c r="I36" s="183">
        <f t="shared" si="10"/>
        <v>5967390</v>
      </c>
      <c r="J36" s="182">
        <v>0.1</v>
      </c>
      <c r="K36" s="183">
        <f t="shared" si="11"/>
        <v>6134700</v>
      </c>
      <c r="L36" s="503"/>
      <c r="M36" s="505"/>
      <c r="N36" s="503"/>
      <c r="O36" s="505"/>
      <c r="P36" s="505"/>
      <c r="Q36" s="505"/>
      <c r="R36" s="509"/>
      <c r="S36" s="505"/>
      <c r="T36" s="505"/>
      <c r="U36" s="505"/>
      <c r="V36" s="505"/>
      <c r="W36" s="505"/>
      <c r="Y36" s="186"/>
      <c r="AA36" s="186"/>
      <c r="AB36" s="187"/>
      <c r="AC36" s="187"/>
      <c r="AD36" s="187"/>
      <c r="AE36" s="187"/>
      <c r="AF36" s="187"/>
      <c r="AG36" s="186"/>
    </row>
    <row r="37" spans="2:33" s="185" customFormat="1" ht="15.75" x14ac:dyDescent="0.25">
      <c r="B37" s="180" t="s">
        <v>613</v>
      </c>
      <c r="C37" s="180">
        <v>101827</v>
      </c>
      <c r="D37" s="499">
        <v>152</v>
      </c>
      <c r="E37" s="179">
        <v>8948768</v>
      </c>
      <c r="F37" s="181">
        <v>5.5005560541965037E-2</v>
      </c>
      <c r="G37" s="179">
        <v>9441000</v>
      </c>
      <c r="H37" s="182">
        <v>7.0000000000000007E-2</v>
      </c>
      <c r="I37" s="183">
        <f t="shared" si="10"/>
        <v>10101870</v>
      </c>
      <c r="J37" s="182">
        <v>0.1</v>
      </c>
      <c r="K37" s="183">
        <f t="shared" si="11"/>
        <v>10385100</v>
      </c>
      <c r="L37" s="502">
        <v>468</v>
      </c>
      <c r="M37" s="508">
        <v>4022156500</v>
      </c>
      <c r="N37" s="514">
        <v>449</v>
      </c>
      <c r="O37" s="508">
        <v>3869819500</v>
      </c>
      <c r="P37" s="504">
        <f>+M37+O37</f>
        <v>7891976000</v>
      </c>
      <c r="Q37" s="504">
        <f>M37/(1+F37)</f>
        <v>3812450521.9989409</v>
      </c>
      <c r="R37" s="504">
        <f t="shared" si="12"/>
        <v>3966854768.1398983</v>
      </c>
      <c r="S37" s="504">
        <f>M37-R37</f>
        <v>55301731.8601017</v>
      </c>
      <c r="T37" s="504">
        <f>O37/(1+F37)</f>
        <v>3668056022.389154</v>
      </c>
      <c r="U37" s="504">
        <f t="shared" si="14"/>
        <v>3816612291.2959146</v>
      </c>
      <c r="V37" s="504">
        <f>O37-U37</f>
        <v>53207208.70408535</v>
      </c>
      <c r="W37" s="504">
        <f t="shared" si="16"/>
        <v>108508940.56418705</v>
      </c>
      <c r="Y37" s="186"/>
      <c r="AA37" s="186"/>
      <c r="AB37" s="187"/>
      <c r="AC37" s="187"/>
      <c r="AD37" s="187"/>
      <c r="AE37" s="187"/>
      <c r="AF37" s="187"/>
      <c r="AG37" s="186"/>
    </row>
    <row r="38" spans="2:33" s="185" customFormat="1" ht="15.75" x14ac:dyDescent="0.25">
      <c r="B38" s="180" t="s">
        <v>614</v>
      </c>
      <c r="C38" s="180">
        <v>101827</v>
      </c>
      <c r="D38" s="499"/>
      <c r="E38" s="179">
        <v>8391133</v>
      </c>
      <c r="F38" s="181">
        <v>5.5042269023741985E-2</v>
      </c>
      <c r="G38" s="179">
        <v>8853000</v>
      </c>
      <c r="H38" s="182">
        <v>7.0000000000000007E-2</v>
      </c>
      <c r="I38" s="183">
        <f t="shared" si="10"/>
        <v>9472710</v>
      </c>
      <c r="J38" s="182">
        <v>0.1</v>
      </c>
      <c r="K38" s="183">
        <f t="shared" si="11"/>
        <v>9738300</v>
      </c>
      <c r="L38" s="503"/>
      <c r="M38" s="509"/>
      <c r="N38" s="516"/>
      <c r="O38" s="509"/>
      <c r="P38" s="505"/>
      <c r="Q38" s="505"/>
      <c r="R38" s="505"/>
      <c r="S38" s="505"/>
      <c r="T38" s="505"/>
      <c r="U38" s="505"/>
      <c r="V38" s="505"/>
      <c r="W38" s="505"/>
      <c r="Y38" s="186"/>
      <c r="AA38" s="186"/>
      <c r="AB38" s="187"/>
      <c r="AC38" s="187"/>
      <c r="AD38" s="187"/>
      <c r="AE38" s="187"/>
      <c r="AF38" s="187"/>
      <c r="AG38" s="186"/>
    </row>
    <row r="39" spans="2:33" ht="12.75" x14ac:dyDescent="0.2">
      <c r="B39" s="60" t="s">
        <v>448</v>
      </c>
      <c r="C39" s="60"/>
      <c r="D39" s="113"/>
      <c r="E39" s="158"/>
      <c r="F39" s="168"/>
      <c r="G39" s="159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Y39" s="122"/>
      <c r="AA39" s="122"/>
      <c r="AB39" s="121"/>
      <c r="AC39" s="121"/>
      <c r="AD39" s="121"/>
      <c r="AE39" s="121"/>
      <c r="AF39" s="121"/>
      <c r="AG39" s="122"/>
    </row>
    <row r="40" spans="2:33" s="185" customFormat="1" ht="15.75" x14ac:dyDescent="0.25">
      <c r="B40" s="180" t="s">
        <v>615</v>
      </c>
      <c r="C40" s="180">
        <v>1039</v>
      </c>
      <c r="D40" s="499">
        <v>171</v>
      </c>
      <c r="E40" s="179">
        <v>6729064</v>
      </c>
      <c r="F40" s="181">
        <v>5.5124457131036309E-2</v>
      </c>
      <c r="G40" s="179">
        <v>7100000</v>
      </c>
      <c r="H40" s="182">
        <v>7.0000000000000007E-2</v>
      </c>
      <c r="I40" s="183">
        <f t="shared" ref="I40:I51" si="17">+(G40*H40)+G40</f>
        <v>7597000</v>
      </c>
      <c r="J40" s="182">
        <v>0.1</v>
      </c>
      <c r="K40" s="183">
        <f t="shared" ref="K40:K51" si="18">+(G40*J40)+G40</f>
        <v>7810000</v>
      </c>
      <c r="L40" s="502">
        <v>532</v>
      </c>
      <c r="M40" s="508">
        <v>3258406000</v>
      </c>
      <c r="N40" s="514">
        <v>543</v>
      </c>
      <c r="O40" s="508">
        <v>3363501000</v>
      </c>
      <c r="P40" s="504">
        <f>+M40+O40</f>
        <v>6621907000</v>
      </c>
      <c r="Q40" s="504">
        <f>M40/(1+F40)</f>
        <v>3088172184.786479</v>
      </c>
      <c r="R40" s="504">
        <f t="shared" ref="R40:R45" si="19">($Q40*$R$10)+$Q40</f>
        <v>3213243158.2703314</v>
      </c>
      <c r="S40" s="504">
        <f t="shared" ref="S40:S46" si="20">M40-R40</f>
        <v>45162841.729668617</v>
      </c>
      <c r="T40" s="504">
        <f>O40/(1+F40)</f>
        <v>3187776548.3188734</v>
      </c>
      <c r="U40" s="504">
        <f t="shared" ref="U40:U49" si="21">($T40*$U$10)+$T40</f>
        <v>3316881498.5257878</v>
      </c>
      <c r="V40" s="504">
        <f t="shared" ref="V40:V45" si="22">O40-U40</f>
        <v>46619501.47421217</v>
      </c>
      <c r="W40" s="504">
        <f t="shared" ref="W40:W49" si="23">S40+V40</f>
        <v>91782343.203880787</v>
      </c>
      <c r="Y40" s="186"/>
      <c r="AA40" s="186"/>
      <c r="AB40" s="187"/>
      <c r="AC40" s="187"/>
      <c r="AD40" s="187"/>
      <c r="AE40" s="187"/>
      <c r="AF40" s="187"/>
      <c r="AG40" s="186"/>
    </row>
    <row r="41" spans="2:33" s="185" customFormat="1" ht="15.75" x14ac:dyDescent="0.25">
      <c r="B41" s="180" t="s">
        <v>616</v>
      </c>
      <c r="C41" s="180">
        <v>1039</v>
      </c>
      <c r="D41" s="499"/>
      <c r="E41" s="179">
        <v>6378325</v>
      </c>
      <c r="F41" s="181">
        <v>5.5135948701265702E-2</v>
      </c>
      <c r="G41" s="179">
        <v>6730000</v>
      </c>
      <c r="H41" s="182">
        <v>7.0000000000000007E-2</v>
      </c>
      <c r="I41" s="183">
        <f t="shared" si="17"/>
        <v>7201100</v>
      </c>
      <c r="J41" s="182">
        <v>0.1</v>
      </c>
      <c r="K41" s="183">
        <f t="shared" si="18"/>
        <v>7403000</v>
      </c>
      <c r="L41" s="503"/>
      <c r="M41" s="509"/>
      <c r="N41" s="516"/>
      <c r="O41" s="509"/>
      <c r="P41" s="505"/>
      <c r="Q41" s="505"/>
      <c r="R41" s="505"/>
      <c r="S41" s="505"/>
      <c r="T41" s="505"/>
      <c r="U41" s="505"/>
      <c r="V41" s="505"/>
      <c r="W41" s="505"/>
      <c r="Y41" s="186"/>
      <c r="AA41" s="186"/>
      <c r="AB41" s="187"/>
      <c r="AC41" s="187"/>
      <c r="AD41" s="187"/>
      <c r="AE41" s="187"/>
      <c r="AF41" s="187"/>
      <c r="AG41" s="186"/>
    </row>
    <row r="42" spans="2:33" s="185" customFormat="1" ht="15.75" x14ac:dyDescent="0.25">
      <c r="B42" s="180" t="s">
        <v>617</v>
      </c>
      <c r="C42" s="180">
        <v>10213</v>
      </c>
      <c r="D42" s="506">
        <v>192</v>
      </c>
      <c r="E42" s="179">
        <v>7801970</v>
      </c>
      <c r="F42" s="181">
        <v>5.5118130420906519E-2</v>
      </c>
      <c r="G42" s="179">
        <v>8232000</v>
      </c>
      <c r="H42" s="182">
        <v>7.0000000000000007E-2</v>
      </c>
      <c r="I42" s="183">
        <f t="shared" si="17"/>
        <v>8808240</v>
      </c>
      <c r="J42" s="182">
        <v>0.1</v>
      </c>
      <c r="K42" s="183">
        <f t="shared" si="18"/>
        <v>9055200</v>
      </c>
      <c r="L42" s="502">
        <v>746</v>
      </c>
      <c r="M42" s="508">
        <v>5303302000</v>
      </c>
      <c r="N42" s="514">
        <v>781</v>
      </c>
      <c r="O42" s="508">
        <v>5569726000</v>
      </c>
      <c r="P42" s="504">
        <f>+M42+O42</f>
        <v>10873028000</v>
      </c>
      <c r="Q42" s="504">
        <f>M42/(1+F42)</f>
        <v>5026263739.6671524</v>
      </c>
      <c r="R42" s="504">
        <f t="shared" si="19"/>
        <v>5229827421.1236725</v>
      </c>
      <c r="S42" s="504">
        <f t="shared" si="20"/>
        <v>73474578.876327515</v>
      </c>
      <c r="T42" s="504">
        <f>O42/(1+F42)</f>
        <v>5278770063.194849</v>
      </c>
      <c r="U42" s="504">
        <f t="shared" si="21"/>
        <v>5492560250.75424</v>
      </c>
      <c r="V42" s="504">
        <f t="shared" si="22"/>
        <v>77165749.245759964</v>
      </c>
      <c r="W42" s="504">
        <f t="shared" si="23"/>
        <v>150640328.12208748</v>
      </c>
      <c r="Y42" s="186"/>
      <c r="AA42" s="186"/>
      <c r="AB42" s="187"/>
      <c r="AC42" s="187"/>
      <c r="AD42" s="187"/>
      <c r="AE42" s="187"/>
      <c r="AF42" s="187"/>
      <c r="AG42" s="186"/>
    </row>
    <row r="43" spans="2:33" s="185" customFormat="1" ht="15.75" x14ac:dyDescent="0.25">
      <c r="B43" s="180" t="s">
        <v>618</v>
      </c>
      <c r="C43" s="180">
        <v>10213</v>
      </c>
      <c r="D43" s="506"/>
      <c r="E43" s="179">
        <v>7395074</v>
      </c>
      <c r="F43" s="181">
        <v>5.502662988903162E-2</v>
      </c>
      <c r="G43" s="179">
        <v>7802000</v>
      </c>
      <c r="H43" s="182">
        <v>7.0000000000000007E-2</v>
      </c>
      <c r="I43" s="183">
        <f t="shared" si="17"/>
        <v>8348140</v>
      </c>
      <c r="J43" s="182">
        <v>0.1</v>
      </c>
      <c r="K43" s="183">
        <f t="shared" si="18"/>
        <v>8582200</v>
      </c>
      <c r="L43" s="513"/>
      <c r="M43" s="510"/>
      <c r="N43" s="515"/>
      <c r="O43" s="510"/>
      <c r="P43" s="511"/>
      <c r="Q43" s="511"/>
      <c r="R43" s="511"/>
      <c r="S43" s="511"/>
      <c r="T43" s="511"/>
      <c r="U43" s="511"/>
      <c r="V43" s="511"/>
      <c r="W43" s="511"/>
      <c r="Y43" s="186"/>
      <c r="AA43" s="186"/>
      <c r="AB43" s="187"/>
      <c r="AC43" s="187"/>
      <c r="AD43" s="187"/>
      <c r="AE43" s="187"/>
      <c r="AF43" s="187"/>
      <c r="AG43" s="186"/>
    </row>
    <row r="44" spans="2:33" s="185" customFormat="1" ht="15.75" x14ac:dyDescent="0.25">
      <c r="B44" s="180" t="s">
        <v>619</v>
      </c>
      <c r="C44" s="180">
        <v>10213</v>
      </c>
      <c r="D44" s="506"/>
      <c r="E44" s="179">
        <v>6501478</v>
      </c>
      <c r="F44" s="181">
        <v>5.51446917147147E-2</v>
      </c>
      <c r="G44" s="179">
        <v>6860000</v>
      </c>
      <c r="H44" s="182">
        <v>7.0000000000000007E-2</v>
      </c>
      <c r="I44" s="183">
        <f t="shared" si="17"/>
        <v>7340200</v>
      </c>
      <c r="J44" s="182">
        <v>0.1</v>
      </c>
      <c r="K44" s="183">
        <f t="shared" si="18"/>
        <v>7546000</v>
      </c>
      <c r="L44" s="503"/>
      <c r="M44" s="509"/>
      <c r="N44" s="516"/>
      <c r="O44" s="509"/>
      <c r="P44" s="505"/>
      <c r="Q44" s="505"/>
      <c r="R44" s="505"/>
      <c r="S44" s="505"/>
      <c r="T44" s="505"/>
      <c r="U44" s="505"/>
      <c r="V44" s="505"/>
      <c r="W44" s="505"/>
      <c r="Y44" s="186"/>
      <c r="AA44" s="186"/>
      <c r="AB44" s="187"/>
      <c r="AC44" s="187"/>
      <c r="AD44" s="187"/>
      <c r="AE44" s="187"/>
      <c r="AF44" s="187"/>
      <c r="AG44" s="186"/>
    </row>
    <row r="45" spans="2:33" s="185" customFormat="1" ht="15.75" x14ac:dyDescent="0.25">
      <c r="B45" s="180" t="s">
        <v>578</v>
      </c>
      <c r="C45" s="180">
        <v>11648</v>
      </c>
      <c r="D45" s="267">
        <v>162</v>
      </c>
      <c r="E45" s="179">
        <v>5903448</v>
      </c>
      <c r="F45" s="181">
        <v>5.5146077343274591E-2</v>
      </c>
      <c r="G45" s="179">
        <v>6229000</v>
      </c>
      <c r="H45" s="182">
        <v>7.0000000000000007E-2</v>
      </c>
      <c r="I45" s="183">
        <f t="shared" si="17"/>
        <v>6665030</v>
      </c>
      <c r="J45" s="182">
        <v>0.1</v>
      </c>
      <c r="K45" s="183">
        <f t="shared" si="18"/>
        <v>6851900</v>
      </c>
      <c r="L45" s="193">
        <v>205</v>
      </c>
      <c r="M45" s="234">
        <v>1182867200</v>
      </c>
      <c r="N45" s="235">
        <v>215</v>
      </c>
      <c r="O45" s="236">
        <v>1231551100</v>
      </c>
      <c r="P45" s="194">
        <f t="shared" ref="P45:P49" si="24">+M45+O45</f>
        <v>2414418300</v>
      </c>
      <c r="Q45" s="194">
        <f t="shared" ref="Q45:Q50" si="25">M45/(1+F45)</f>
        <v>1121045915.2521431</v>
      </c>
      <c r="R45" s="194">
        <f t="shared" si="19"/>
        <v>1166448274.819855</v>
      </c>
      <c r="S45" s="194">
        <f t="shared" si="20"/>
        <v>16418925.180145025</v>
      </c>
      <c r="T45" s="194">
        <f t="shared" ref="T45:T50" si="26">O45/(1+F45)</f>
        <v>1167185403.4664955</v>
      </c>
      <c r="U45" s="194">
        <f t="shared" si="21"/>
        <v>1214456412.3068886</v>
      </c>
      <c r="V45" s="194">
        <f t="shared" si="22"/>
        <v>17094687.69311142</v>
      </c>
      <c r="W45" s="194">
        <f t="shared" si="23"/>
        <v>33513612.873256445</v>
      </c>
      <c r="Y45" s="186"/>
      <c r="AA45" s="186"/>
      <c r="AB45" s="187"/>
      <c r="AC45" s="187"/>
      <c r="AD45" s="187"/>
      <c r="AE45" s="187"/>
      <c r="AF45" s="187"/>
      <c r="AG45" s="186"/>
    </row>
    <row r="46" spans="2:33" s="185" customFormat="1" ht="15.75" x14ac:dyDescent="0.25">
      <c r="B46" s="180" t="s">
        <v>579</v>
      </c>
      <c r="C46" s="180">
        <v>15808</v>
      </c>
      <c r="D46" s="267">
        <v>162</v>
      </c>
      <c r="E46" s="179">
        <v>6880788</v>
      </c>
      <c r="F46" s="181">
        <v>5.5111711042397982E-2</v>
      </c>
      <c r="G46" s="179">
        <v>7260000</v>
      </c>
      <c r="H46" s="182">
        <v>7.0000000000000007E-2</v>
      </c>
      <c r="I46" s="183">
        <f t="shared" si="17"/>
        <v>7768200</v>
      </c>
      <c r="J46" s="182">
        <v>0.1</v>
      </c>
      <c r="K46" s="183">
        <f t="shared" si="18"/>
        <v>7986000</v>
      </c>
      <c r="L46" s="195">
        <v>251</v>
      </c>
      <c r="M46" s="234">
        <v>1640620000</v>
      </c>
      <c r="N46" s="237">
        <v>234</v>
      </c>
      <c r="O46" s="236">
        <v>1522350000</v>
      </c>
      <c r="P46" s="194">
        <f t="shared" si="24"/>
        <v>3162970000</v>
      </c>
      <c r="Q46" s="194">
        <f t="shared" si="25"/>
        <v>1554925400.6280992</v>
      </c>
      <c r="R46" s="194">
        <f>($Q46*$R$10)+$Q46</f>
        <v>1617899879.3535373</v>
      </c>
      <c r="S46" s="194">
        <f t="shared" si="20"/>
        <v>22720120.646462679</v>
      </c>
      <c r="T46" s="194">
        <f t="shared" si="26"/>
        <v>1442833004.3801653</v>
      </c>
      <c r="U46" s="194">
        <f t="shared" si="21"/>
        <v>1501267741.0575621</v>
      </c>
      <c r="V46" s="194">
        <f>O46-U46</f>
        <v>21082258.942437887</v>
      </c>
      <c r="W46" s="194">
        <f t="shared" si="23"/>
        <v>43802379.588900566</v>
      </c>
      <c r="Y46" s="186"/>
      <c r="AA46" s="186"/>
      <c r="AB46" s="187"/>
      <c r="AC46" s="187"/>
      <c r="AD46" s="187"/>
      <c r="AE46" s="187"/>
      <c r="AF46" s="187"/>
      <c r="AG46" s="186"/>
    </row>
    <row r="47" spans="2:33" s="185" customFormat="1" ht="15.75" x14ac:dyDescent="0.25">
      <c r="B47" s="180" t="s">
        <v>580</v>
      </c>
      <c r="C47" s="180">
        <v>53296</v>
      </c>
      <c r="D47" s="267">
        <v>144</v>
      </c>
      <c r="E47" s="179">
        <v>7288670</v>
      </c>
      <c r="F47" s="181">
        <v>5.5062171836562701E-2</v>
      </c>
      <c r="G47" s="179">
        <v>7690000</v>
      </c>
      <c r="H47" s="182">
        <v>7.0000000000000007E-2</v>
      </c>
      <c r="I47" s="183">
        <f t="shared" si="17"/>
        <v>8228300</v>
      </c>
      <c r="J47" s="182">
        <v>0.1</v>
      </c>
      <c r="K47" s="183">
        <f t="shared" si="18"/>
        <v>8459000</v>
      </c>
      <c r="L47" s="193">
        <v>243</v>
      </c>
      <c r="M47" s="234">
        <v>1650879000</v>
      </c>
      <c r="N47" s="235">
        <v>246</v>
      </c>
      <c r="O47" s="236">
        <v>1677937000</v>
      </c>
      <c r="P47" s="194">
        <f t="shared" si="24"/>
        <v>3328816000</v>
      </c>
      <c r="Q47" s="194">
        <f t="shared" si="25"/>
        <v>1564722007.9232771</v>
      </c>
      <c r="R47" s="194">
        <f t="shared" ref="R47:R49" si="27">($Q47*$R$10)+$Q47</f>
        <v>1628093249.24417</v>
      </c>
      <c r="S47" s="194">
        <f>M47-R47</f>
        <v>22785750.75583005</v>
      </c>
      <c r="T47" s="194">
        <f t="shared" si="26"/>
        <v>1590367889.9596879</v>
      </c>
      <c r="U47" s="194">
        <f t="shared" si="21"/>
        <v>1654777789.5030553</v>
      </c>
      <c r="V47" s="194">
        <f t="shared" ref="V47:V49" si="28">O47-U47</f>
        <v>23159210.496944666</v>
      </c>
      <c r="W47" s="194">
        <f t="shared" si="23"/>
        <v>45944961.252774715</v>
      </c>
      <c r="Y47" s="186"/>
      <c r="AA47" s="186"/>
      <c r="AB47" s="187"/>
      <c r="AC47" s="187"/>
      <c r="AD47" s="187"/>
      <c r="AE47" s="187"/>
      <c r="AF47" s="187"/>
      <c r="AG47" s="186"/>
    </row>
    <row r="48" spans="2:33" s="185" customFormat="1" ht="15.75" x14ac:dyDescent="0.25">
      <c r="B48" s="180" t="s">
        <v>581</v>
      </c>
      <c r="C48" s="180">
        <v>53475</v>
      </c>
      <c r="D48" s="267">
        <v>144</v>
      </c>
      <c r="E48" s="179">
        <v>6480788</v>
      </c>
      <c r="F48" s="181">
        <v>5.5118605947301447E-2</v>
      </c>
      <c r="G48" s="179">
        <v>6838000</v>
      </c>
      <c r="H48" s="182">
        <v>7.0000000000000007E-2</v>
      </c>
      <c r="I48" s="183">
        <f t="shared" si="17"/>
        <v>7316660</v>
      </c>
      <c r="J48" s="182">
        <v>0.1</v>
      </c>
      <c r="K48" s="183">
        <f t="shared" si="18"/>
        <v>7521800</v>
      </c>
      <c r="L48" s="195">
        <v>144</v>
      </c>
      <c r="M48" s="234">
        <v>837212600</v>
      </c>
      <c r="N48" s="237">
        <v>138</v>
      </c>
      <c r="O48" s="236">
        <v>813595800</v>
      </c>
      <c r="P48" s="194">
        <f t="shared" si="24"/>
        <v>1650808400</v>
      </c>
      <c r="Q48" s="194">
        <f t="shared" si="25"/>
        <v>793477240.64475</v>
      </c>
      <c r="R48" s="194">
        <f t="shared" si="27"/>
        <v>825613068.89086235</v>
      </c>
      <c r="S48" s="194">
        <f t="shared" ref="S48:S49" si="29">M48-R48</f>
        <v>11599531.109137654</v>
      </c>
      <c r="T48" s="194">
        <f t="shared" si="26"/>
        <v>771094164.59350693</v>
      </c>
      <c r="U48" s="194">
        <f t="shared" si="21"/>
        <v>802323478.25954401</v>
      </c>
      <c r="V48" s="194">
        <f t="shared" si="28"/>
        <v>11272321.740455985</v>
      </c>
      <c r="W48" s="194">
        <f t="shared" si="23"/>
        <v>22871852.849593639</v>
      </c>
      <c r="Y48" s="186"/>
      <c r="AA48" s="186"/>
      <c r="AB48" s="187"/>
      <c r="AC48" s="187"/>
      <c r="AD48" s="187"/>
      <c r="AE48" s="187"/>
      <c r="AF48" s="187"/>
      <c r="AG48" s="186"/>
    </row>
    <row r="49" spans="1:33" s="185" customFormat="1" ht="15.75" x14ac:dyDescent="0.25">
      <c r="B49" s="180" t="s">
        <v>582</v>
      </c>
      <c r="C49" s="180">
        <v>54163</v>
      </c>
      <c r="D49" s="267">
        <v>148</v>
      </c>
      <c r="E49" s="179">
        <v>4201970</v>
      </c>
      <c r="F49" s="181">
        <v>5.5219337596413176E-2</v>
      </c>
      <c r="G49" s="179">
        <v>4434000</v>
      </c>
      <c r="H49" s="182">
        <v>7.0000000000000007E-2</v>
      </c>
      <c r="I49" s="183">
        <f t="shared" si="17"/>
        <v>4744380</v>
      </c>
      <c r="J49" s="182">
        <v>0.1</v>
      </c>
      <c r="K49" s="183">
        <f t="shared" si="18"/>
        <v>4877400</v>
      </c>
      <c r="L49" s="193">
        <v>31</v>
      </c>
      <c r="M49" s="234">
        <v>105387800</v>
      </c>
      <c r="N49" s="235">
        <v>32</v>
      </c>
      <c r="O49" s="236">
        <v>107161400</v>
      </c>
      <c r="P49" s="194">
        <f t="shared" si="24"/>
        <v>212549200</v>
      </c>
      <c r="Q49" s="194">
        <f t="shared" si="25"/>
        <v>99872885.423094273</v>
      </c>
      <c r="R49" s="194">
        <f t="shared" si="27"/>
        <v>103917737.2827296</v>
      </c>
      <c r="S49" s="194">
        <f t="shared" si="29"/>
        <v>1470062.7172704041</v>
      </c>
      <c r="T49" s="194">
        <f t="shared" si="26"/>
        <v>101553673.42309427</v>
      </c>
      <c r="U49" s="194">
        <f t="shared" si="21"/>
        <v>105666597.19672959</v>
      </c>
      <c r="V49" s="194">
        <f t="shared" si="28"/>
        <v>1494802.8032704145</v>
      </c>
      <c r="W49" s="194">
        <f t="shared" si="23"/>
        <v>2964865.5205408186</v>
      </c>
      <c r="Y49" s="186"/>
      <c r="AA49" s="186"/>
      <c r="AB49" s="187"/>
      <c r="AC49" s="187"/>
      <c r="AD49" s="187"/>
      <c r="AE49" s="187"/>
      <c r="AF49" s="187"/>
      <c r="AG49" s="186"/>
    </row>
    <row r="50" spans="1:33" s="185" customFormat="1" ht="15.75" x14ac:dyDescent="0.25">
      <c r="B50" s="180" t="s">
        <v>620</v>
      </c>
      <c r="C50" s="180">
        <v>90368</v>
      </c>
      <c r="D50" s="506">
        <v>162</v>
      </c>
      <c r="E50" s="179">
        <v>6659113</v>
      </c>
      <c r="F50" s="181">
        <v>5.5095475929001436E-2</v>
      </c>
      <c r="G50" s="179">
        <v>7026000</v>
      </c>
      <c r="H50" s="182">
        <v>7.0000000000000007E-2</v>
      </c>
      <c r="I50" s="183">
        <f t="shared" si="17"/>
        <v>7517820</v>
      </c>
      <c r="J50" s="182">
        <v>0.1</v>
      </c>
      <c r="K50" s="183">
        <f t="shared" si="18"/>
        <v>7728600</v>
      </c>
      <c r="L50" s="502">
        <v>358</v>
      </c>
      <c r="M50" s="508">
        <v>2276180400</v>
      </c>
      <c r="N50" s="514">
        <v>374</v>
      </c>
      <c r="O50" s="508">
        <v>2390108400</v>
      </c>
      <c r="P50" s="504">
        <f>+M50+O50</f>
        <v>4666288800</v>
      </c>
      <c r="Q50" s="504">
        <f t="shared" si="25"/>
        <v>2157321732.4203243</v>
      </c>
      <c r="R50" s="504">
        <f>($Q50*$R$10)+$Q50</f>
        <v>2244693262.5833473</v>
      </c>
      <c r="S50" s="504">
        <f>M50-R50</f>
        <v>31487137.416652679</v>
      </c>
      <c r="T50" s="504">
        <f t="shared" si="26"/>
        <v>2265300586.0872755</v>
      </c>
      <c r="U50" s="504">
        <f>($T50*$U$10)+$T50</f>
        <v>2357045259.8238101</v>
      </c>
      <c r="V50" s="504">
        <f>O50-U50</f>
        <v>33063140.176189899</v>
      </c>
      <c r="W50" s="504">
        <f>S50+V50</f>
        <v>64550277.592842579</v>
      </c>
      <c r="Y50" s="186"/>
      <c r="AA50" s="186"/>
      <c r="AB50" s="187"/>
      <c r="AC50" s="187"/>
      <c r="AD50" s="187"/>
      <c r="AE50" s="187"/>
      <c r="AF50" s="187"/>
      <c r="AG50" s="186"/>
    </row>
    <row r="51" spans="1:33" s="185" customFormat="1" ht="15.75" x14ac:dyDescent="0.25">
      <c r="B51" s="180" t="s">
        <v>621</v>
      </c>
      <c r="C51" s="180">
        <v>90368</v>
      </c>
      <c r="D51" s="506"/>
      <c r="E51" s="179">
        <v>6480788</v>
      </c>
      <c r="F51" s="181">
        <v>5.5118605947301447E-2</v>
      </c>
      <c r="G51" s="179">
        <v>6838000</v>
      </c>
      <c r="H51" s="182">
        <v>7.0000000000000007E-2</v>
      </c>
      <c r="I51" s="183">
        <f t="shared" si="17"/>
        <v>7316660</v>
      </c>
      <c r="J51" s="182">
        <v>0.1</v>
      </c>
      <c r="K51" s="183">
        <f t="shared" si="18"/>
        <v>7521800</v>
      </c>
      <c r="L51" s="503"/>
      <c r="M51" s="509"/>
      <c r="N51" s="516"/>
      <c r="O51" s="509"/>
      <c r="P51" s="505"/>
      <c r="Q51" s="505"/>
      <c r="R51" s="505"/>
      <c r="S51" s="505"/>
      <c r="T51" s="505"/>
      <c r="U51" s="505"/>
      <c r="V51" s="505"/>
      <c r="W51" s="505"/>
      <c r="Y51" s="186"/>
      <c r="AA51" s="186"/>
      <c r="AB51" s="187"/>
      <c r="AC51" s="187"/>
      <c r="AD51" s="187"/>
      <c r="AE51" s="187"/>
      <c r="AF51" s="187"/>
      <c r="AG51" s="186"/>
    </row>
    <row r="52" spans="1:33" ht="12.75" customHeight="1" x14ac:dyDescent="0.2">
      <c r="B52" s="135" t="s">
        <v>449</v>
      </c>
      <c r="C52" s="135"/>
      <c r="D52" s="136"/>
      <c r="E52" s="160"/>
      <c r="F52" s="160"/>
      <c r="G52" s="159"/>
      <c r="H52" s="137"/>
      <c r="I52" s="137"/>
      <c r="J52" s="137"/>
      <c r="K52" s="137"/>
      <c r="L52" s="140"/>
      <c r="M52" s="76"/>
      <c r="N52" s="76"/>
      <c r="O52" s="76"/>
      <c r="P52" s="73"/>
      <c r="Q52" s="73"/>
      <c r="R52" s="73"/>
      <c r="S52" s="73"/>
      <c r="T52" s="73"/>
      <c r="U52" s="73"/>
      <c r="V52" s="73"/>
      <c r="W52" s="73"/>
      <c r="Y52" s="122"/>
      <c r="AA52" s="122"/>
      <c r="AB52" s="121"/>
      <c r="AC52" s="121"/>
      <c r="AD52" s="121"/>
      <c r="AE52" s="121"/>
      <c r="AF52" s="121"/>
      <c r="AG52" s="122"/>
    </row>
    <row r="53" spans="1:33" s="185" customFormat="1" ht="12.75" customHeight="1" x14ac:dyDescent="0.25">
      <c r="B53" s="238" t="s">
        <v>622</v>
      </c>
      <c r="C53" s="239">
        <v>54936</v>
      </c>
      <c r="D53" s="506">
        <v>300</v>
      </c>
      <c r="E53" s="240">
        <v>14145813</v>
      </c>
      <c r="F53" s="181">
        <f t="shared" ref="F53:F56" si="30">(+G53/E53)-1</f>
        <v>5.5011825760739264E-2</v>
      </c>
      <c r="G53" s="240">
        <v>14924000</v>
      </c>
      <c r="H53" s="182">
        <v>7.0000000000000007E-2</v>
      </c>
      <c r="I53" s="183">
        <f>+(G53*H53)+G53</f>
        <v>15968680</v>
      </c>
      <c r="J53" s="182">
        <v>0.1</v>
      </c>
      <c r="K53" s="183">
        <f>+(G53*J53)+G53</f>
        <v>16416400</v>
      </c>
      <c r="L53" s="502">
        <v>755</v>
      </c>
      <c r="M53" s="508">
        <v>10291942500</v>
      </c>
      <c r="N53" s="514">
        <v>765</v>
      </c>
      <c r="O53" s="508">
        <v>10512370000</v>
      </c>
      <c r="P53" s="504">
        <f>+M53+O53</f>
        <v>20804312500</v>
      </c>
      <c r="Q53" s="504">
        <f>M53/(1+F53)</f>
        <v>9755286385.1348495</v>
      </c>
      <c r="R53" s="504">
        <f>($Q53*$R$10)+$Q53</f>
        <v>10150375483.732811</v>
      </c>
      <c r="S53" s="504">
        <f>M53-R53</f>
        <v>141567016.26718903</v>
      </c>
      <c r="T53" s="504">
        <f>O53/(1+F53)</f>
        <v>9964220062.101984</v>
      </c>
      <c r="U53" s="504">
        <f>($T53*$U$10)+$T53</f>
        <v>10367770974.617115</v>
      </c>
      <c r="V53" s="504">
        <f>O53-U53</f>
        <v>144599025.38288498</v>
      </c>
      <c r="W53" s="504">
        <f>S53+V53</f>
        <v>286166041.65007401</v>
      </c>
      <c r="Y53" s="186"/>
      <c r="AA53" s="186"/>
      <c r="AB53" s="187"/>
      <c r="AC53" s="187"/>
      <c r="AD53" s="187"/>
      <c r="AE53" s="187"/>
      <c r="AF53" s="187"/>
      <c r="AG53" s="186"/>
    </row>
    <row r="54" spans="1:33" s="185" customFormat="1" ht="12.75" customHeight="1" x14ac:dyDescent="0.25">
      <c r="B54" s="238" t="s">
        <v>623</v>
      </c>
      <c r="C54" s="239">
        <v>54936</v>
      </c>
      <c r="D54" s="506"/>
      <c r="E54" s="240">
        <v>13066010</v>
      </c>
      <c r="F54" s="181">
        <f t="shared" si="30"/>
        <v>5.5027510311104866E-2</v>
      </c>
      <c r="G54" s="240">
        <v>13785000</v>
      </c>
      <c r="H54" s="182">
        <v>7.0000000000000007E-2</v>
      </c>
      <c r="I54" s="183">
        <f>+(G54*H54)+G54</f>
        <v>14749950</v>
      </c>
      <c r="J54" s="182">
        <v>0.1</v>
      </c>
      <c r="K54" s="183">
        <f>+(G54*J54)+G54</f>
        <v>15163500</v>
      </c>
      <c r="L54" s="503"/>
      <c r="M54" s="509"/>
      <c r="N54" s="516"/>
      <c r="O54" s="509"/>
      <c r="P54" s="505"/>
      <c r="Q54" s="505"/>
      <c r="R54" s="505"/>
      <c r="S54" s="505"/>
      <c r="T54" s="505"/>
      <c r="U54" s="505"/>
      <c r="V54" s="505"/>
      <c r="W54" s="505"/>
      <c r="Y54" s="186"/>
      <c r="AA54" s="186"/>
      <c r="AB54" s="187"/>
      <c r="AC54" s="187"/>
      <c r="AD54" s="187"/>
      <c r="AE54" s="187"/>
      <c r="AF54" s="187"/>
      <c r="AG54" s="186"/>
    </row>
    <row r="55" spans="1:33" s="185" customFormat="1" ht="12.75" customHeight="1" x14ac:dyDescent="0.25">
      <c r="B55" s="238" t="s">
        <v>583</v>
      </c>
      <c r="C55" s="241">
        <v>106123</v>
      </c>
      <c r="D55" s="242">
        <v>160</v>
      </c>
      <c r="E55" s="240">
        <v>5700493</v>
      </c>
      <c r="F55" s="181">
        <f t="shared" si="30"/>
        <v>5.5171894781732123E-2</v>
      </c>
      <c r="G55" s="240">
        <v>6015000</v>
      </c>
      <c r="H55" s="182">
        <v>7.0000000000000007E-2</v>
      </c>
      <c r="I55" s="183">
        <f>+(G55*H55)+G55</f>
        <v>6436050</v>
      </c>
      <c r="J55" s="182">
        <v>0.1</v>
      </c>
      <c r="K55" s="183">
        <f>+(G55*J55)+G55</f>
        <v>6616500</v>
      </c>
      <c r="L55" s="195">
        <v>52</v>
      </c>
      <c r="M55" s="234">
        <v>297742500</v>
      </c>
      <c r="N55" s="237">
        <v>74</v>
      </c>
      <c r="O55" s="236">
        <v>415035000</v>
      </c>
      <c r="P55" s="194">
        <f>+M55+O55</f>
        <v>712777500</v>
      </c>
      <c r="Q55" s="194">
        <f>M55/(1+F55)</f>
        <v>282174403.5</v>
      </c>
      <c r="R55" s="194">
        <f t="shared" ref="R55" si="31">($Q55*$R$10)+$Q55</f>
        <v>293602466.84175003</v>
      </c>
      <c r="S55" s="194">
        <f t="shared" ref="S55" si="32">M55-R55</f>
        <v>4140033.1582499743</v>
      </c>
      <c r="T55" s="194">
        <f>O55/(1+F55)</f>
        <v>393334016.99999994</v>
      </c>
      <c r="U55" s="194">
        <f t="shared" ref="U55" si="33">($T55*$U$10)+$T55</f>
        <v>409264044.68849993</v>
      </c>
      <c r="V55" s="194">
        <f t="shared" ref="V55" si="34">O55-U55</f>
        <v>5770955.3115000725</v>
      </c>
      <c r="W55" s="194">
        <f t="shared" ref="W55" si="35">S55+V55</f>
        <v>9910988.4697500467</v>
      </c>
      <c r="Y55" s="186"/>
      <c r="AA55" s="186"/>
      <c r="AB55" s="187"/>
      <c r="AC55" s="187"/>
      <c r="AD55" s="187"/>
      <c r="AE55" s="187"/>
      <c r="AF55" s="187"/>
      <c r="AG55" s="186"/>
    </row>
    <row r="56" spans="1:33" s="185" customFormat="1" ht="12.75" customHeight="1" x14ac:dyDescent="0.25">
      <c r="B56" s="238" t="s">
        <v>624</v>
      </c>
      <c r="C56" s="239">
        <v>105688</v>
      </c>
      <c r="D56" s="506">
        <v>162</v>
      </c>
      <c r="E56" s="240">
        <v>5700493</v>
      </c>
      <c r="F56" s="181">
        <f t="shared" si="30"/>
        <v>6.7100687607194676E-2</v>
      </c>
      <c r="G56" s="240">
        <v>6083000</v>
      </c>
      <c r="H56" s="182">
        <v>7.0000000000000007E-2</v>
      </c>
      <c r="I56" s="183">
        <f>+(G56*H56)+G56</f>
        <v>6508810</v>
      </c>
      <c r="J56" s="182">
        <v>0.1</v>
      </c>
      <c r="K56" s="183">
        <f>+(G56*J56)+G56</f>
        <v>6691300</v>
      </c>
      <c r="L56" s="502">
        <v>104</v>
      </c>
      <c r="M56" s="508">
        <v>620829000</v>
      </c>
      <c r="N56" s="514">
        <v>128</v>
      </c>
      <c r="O56" s="508">
        <v>765062000</v>
      </c>
      <c r="P56" s="504">
        <f>+M56+O56</f>
        <v>1385891000</v>
      </c>
      <c r="Q56" s="504">
        <f>M56/(1+F56)</f>
        <v>581790460.08499098</v>
      </c>
      <c r="R56" s="504">
        <f>($Q56*$R$10)+$Q56</f>
        <v>605352973.71843314</v>
      </c>
      <c r="S56" s="504">
        <f>M56-R56</f>
        <v>15476026.281566858</v>
      </c>
      <c r="T56" s="504">
        <f>O56/(1+F56)</f>
        <v>716953900.3067565</v>
      </c>
      <c r="U56" s="504">
        <f>($T56*$U$10)+$T56</f>
        <v>745990533.26918018</v>
      </c>
      <c r="V56" s="504">
        <f>O56-U56</f>
        <v>19071466.730819821</v>
      </c>
      <c r="W56" s="504">
        <f>S56+V56</f>
        <v>34547493.01238668</v>
      </c>
      <c r="Y56" s="186"/>
      <c r="AA56" s="186"/>
      <c r="AB56" s="187"/>
      <c r="AC56" s="187"/>
      <c r="AD56" s="187"/>
      <c r="AE56" s="187"/>
      <c r="AF56" s="187"/>
      <c r="AG56" s="186"/>
    </row>
    <row r="57" spans="1:33" s="185" customFormat="1" ht="12.75" customHeight="1" thickBot="1" x14ac:dyDescent="0.3">
      <c r="B57" s="238" t="s">
        <v>625</v>
      </c>
      <c r="C57" s="239">
        <v>105688</v>
      </c>
      <c r="D57" s="506"/>
      <c r="E57" s="240">
        <v>5700493</v>
      </c>
      <c r="F57" s="181">
        <f>(+G57/E57)-1</f>
        <v>5.5171894781732123E-2</v>
      </c>
      <c r="G57" s="240">
        <v>6015000</v>
      </c>
      <c r="H57" s="182">
        <v>7.0000000000000007E-2</v>
      </c>
      <c r="I57" s="183">
        <f>+(G57*H57)+G57</f>
        <v>6436050</v>
      </c>
      <c r="J57" s="182">
        <v>0.1</v>
      </c>
      <c r="K57" s="183">
        <f>+(G57*J57)+G57</f>
        <v>6616500</v>
      </c>
      <c r="L57" s="526"/>
      <c r="M57" s="527"/>
      <c r="N57" s="528"/>
      <c r="O57" s="527"/>
      <c r="P57" s="517"/>
      <c r="Q57" s="517"/>
      <c r="R57" s="517"/>
      <c r="S57" s="517"/>
      <c r="T57" s="517"/>
      <c r="U57" s="517"/>
      <c r="V57" s="517"/>
      <c r="W57" s="517"/>
      <c r="Y57" s="186"/>
      <c r="AA57" s="186"/>
      <c r="AB57" s="187"/>
      <c r="AC57" s="187"/>
      <c r="AD57" s="187"/>
      <c r="AE57" s="187"/>
      <c r="AF57" s="187"/>
      <c r="AG57" s="186"/>
    </row>
    <row r="58" spans="1:33" ht="23.25" customHeight="1" x14ac:dyDescent="0.35">
      <c r="B58" s="77" t="s">
        <v>547</v>
      </c>
      <c r="C58" s="80"/>
      <c r="D58" s="108"/>
      <c r="E58" s="161"/>
      <c r="F58" s="172" t="s">
        <v>548</v>
      </c>
      <c r="G58" s="161">
        <f>SUM(G13:G57)</f>
        <v>305789000</v>
      </c>
      <c r="H58" s="80"/>
      <c r="I58" s="80"/>
      <c r="J58" s="80"/>
      <c r="K58" s="80"/>
      <c r="L58" s="81">
        <f t="shared" ref="L58:W58" si="36">SUM(L13:L57)</f>
        <v>7053</v>
      </c>
      <c r="M58" s="82">
        <f t="shared" si="36"/>
        <v>51835105700</v>
      </c>
      <c r="N58" s="81">
        <f t="shared" si="36"/>
        <v>7105</v>
      </c>
      <c r="O58" s="82">
        <f t="shared" si="36"/>
        <v>52350853600</v>
      </c>
      <c r="P58" s="82">
        <f>SUM(P13:P57)</f>
        <v>104185959300</v>
      </c>
      <c r="Q58" s="82">
        <f t="shared" si="36"/>
        <v>49123227294.046577</v>
      </c>
      <c r="R58" s="82">
        <f>SUM(R13:R57)</f>
        <v>51112717999.455467</v>
      </c>
      <c r="S58" s="82">
        <f t="shared" si="36"/>
        <v>722387700.54453897</v>
      </c>
      <c r="T58" s="82">
        <f t="shared" si="36"/>
        <v>49610492770.843102</v>
      </c>
      <c r="U58" s="82">
        <f t="shared" si="36"/>
        <v>51619717728.062248</v>
      </c>
      <c r="V58" s="82">
        <f t="shared" si="36"/>
        <v>731135871.93774593</v>
      </c>
      <c r="W58" s="82">
        <f t="shared" si="36"/>
        <v>1453523572.482285</v>
      </c>
      <c r="Y58" s="122"/>
      <c r="AA58" s="122"/>
      <c r="AB58" s="121"/>
      <c r="AC58" s="121"/>
      <c r="AD58" s="121"/>
      <c r="AE58" s="121"/>
      <c r="AF58" s="121"/>
      <c r="AG58" s="122"/>
    </row>
    <row r="59" spans="1:33" ht="26.25" customHeight="1" thickBot="1" x14ac:dyDescent="0.3">
      <c r="A59" s="63" t="s">
        <v>575</v>
      </c>
      <c r="B59" s="83" t="s">
        <v>549</v>
      </c>
      <c r="C59" s="87"/>
      <c r="D59" s="109"/>
      <c r="E59" s="162"/>
      <c r="F59" s="173"/>
      <c r="G59" s="163">
        <f>+SUMPRODUCT(G13:G57,F13:F57)/G58</f>
        <v>5.5307924681514443E-2</v>
      </c>
      <c r="H59" s="87"/>
      <c r="I59" s="87"/>
      <c r="J59" s="87"/>
      <c r="K59" s="87"/>
      <c r="L59" s="88"/>
      <c r="M59" s="89"/>
      <c r="N59" s="88"/>
      <c r="O59" s="90"/>
      <c r="P59" s="86"/>
      <c r="Q59" s="86"/>
      <c r="R59" s="86"/>
      <c r="S59" s="86"/>
      <c r="T59" s="86"/>
      <c r="U59" s="86"/>
      <c r="V59" s="86"/>
      <c r="W59" s="86"/>
      <c r="Y59" s="122"/>
      <c r="AA59" s="122"/>
      <c r="AB59" s="121"/>
      <c r="AC59" s="121"/>
      <c r="AD59" s="121"/>
      <c r="AE59" s="121"/>
      <c r="AF59" s="121"/>
      <c r="AG59" s="122"/>
    </row>
    <row r="60" spans="1:33" ht="24" customHeight="1" thickBot="1" x14ac:dyDescent="0.25">
      <c r="B60" s="70" t="s">
        <v>550</v>
      </c>
      <c r="C60" s="71"/>
      <c r="D60" s="107"/>
      <c r="E60" s="164"/>
      <c r="F60" s="174"/>
      <c r="G60" s="164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Y60" s="122"/>
      <c r="AA60" s="122"/>
      <c r="AB60" s="121"/>
      <c r="AC60" s="121"/>
      <c r="AD60" s="121"/>
      <c r="AE60" s="121"/>
      <c r="AF60" s="121"/>
      <c r="AG60" s="122"/>
    </row>
    <row r="61" spans="1:33" ht="12" x14ac:dyDescent="0.2">
      <c r="B61" s="60" t="s">
        <v>449</v>
      </c>
      <c r="C61" s="60"/>
      <c r="D61" s="113"/>
      <c r="E61" s="159"/>
      <c r="F61" s="175"/>
      <c r="G61" s="165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Y61" s="122"/>
      <c r="AA61" s="122"/>
      <c r="AB61" s="121"/>
      <c r="AC61" s="121"/>
      <c r="AD61" s="121"/>
      <c r="AE61" s="121"/>
      <c r="AF61" s="121"/>
      <c r="AG61" s="122"/>
    </row>
    <row r="62" spans="1:33" s="185" customFormat="1" ht="15.75" x14ac:dyDescent="0.25">
      <c r="B62" s="180" t="s">
        <v>474</v>
      </c>
      <c r="C62" s="180">
        <v>103047</v>
      </c>
      <c r="D62" s="267">
        <v>48</v>
      </c>
      <c r="E62" s="179">
        <v>8520197</v>
      </c>
      <c r="F62" s="181">
        <f t="shared" ref="F62:F110" si="37">(+G62/E62)-1</f>
        <v>5.5022554055968342E-2</v>
      </c>
      <c r="G62" s="179">
        <v>8989000</v>
      </c>
      <c r="H62" s="182">
        <v>7.0000000000000007E-2</v>
      </c>
      <c r="I62" s="183">
        <f>+(G62*H62)+G62</f>
        <v>9618230</v>
      </c>
      <c r="J62" s="182">
        <v>0.1</v>
      </c>
      <c r="K62" s="183">
        <f>+(G62*J62)+G62</f>
        <v>9887900</v>
      </c>
      <c r="L62" s="195">
        <v>21</v>
      </c>
      <c r="M62" s="236">
        <v>174386691</v>
      </c>
      <c r="N62" s="237">
        <v>46</v>
      </c>
      <c r="O62" s="236">
        <v>389223791</v>
      </c>
      <c r="P62" s="194">
        <f>+M62+O62</f>
        <v>563610482</v>
      </c>
      <c r="Q62" s="194">
        <f>M62/(1+F62)</f>
        <v>165291908.05408022</v>
      </c>
      <c r="R62" s="194">
        <f t="shared" ref="R62:R65" si="38">($Q62*$R$10)+$Q62</f>
        <v>171986230.33027047</v>
      </c>
      <c r="S62" s="194">
        <f t="shared" ref="S62:S65" si="39">M62-R62</f>
        <v>2400460.6697295308</v>
      </c>
      <c r="T62" s="194">
        <f>O62/(1+F62)</f>
        <v>368924616.35408026</v>
      </c>
      <c r="U62" s="194">
        <f>($T62*$U$10)+$T62</f>
        <v>383866063.3164205</v>
      </c>
      <c r="V62" s="194">
        <f t="shared" ref="V62:V65" si="40">O62-U62</f>
        <v>5357727.6835795045</v>
      </c>
      <c r="W62" s="194">
        <f t="shared" ref="W62:W65" si="41">S62+V62</f>
        <v>7758188.3533090353</v>
      </c>
      <c r="Y62" s="186"/>
      <c r="AA62" s="186"/>
      <c r="AB62" s="187"/>
      <c r="AC62" s="187"/>
      <c r="AD62" s="187"/>
      <c r="AE62" s="187"/>
      <c r="AF62" s="187"/>
      <c r="AG62" s="186"/>
    </row>
    <row r="63" spans="1:33" s="185" customFormat="1" ht="15.75" x14ac:dyDescent="0.25">
      <c r="B63" s="180" t="s">
        <v>558</v>
      </c>
      <c r="C63" s="180">
        <v>106180</v>
      </c>
      <c r="D63" s="267">
        <v>197</v>
      </c>
      <c r="E63" s="179">
        <v>13793103</v>
      </c>
      <c r="F63" s="181">
        <f t="shared" si="37"/>
        <v>5.5020034288151054E-2</v>
      </c>
      <c r="G63" s="179">
        <v>14552000</v>
      </c>
      <c r="H63" s="182">
        <v>7.0000000000000007E-2</v>
      </c>
      <c r="I63" s="183">
        <f>+(G63*H63)+G63</f>
        <v>15570640</v>
      </c>
      <c r="J63" s="182">
        <v>0.1</v>
      </c>
      <c r="K63" s="183">
        <f>+(G63*J63)+G63</f>
        <v>16007200</v>
      </c>
      <c r="L63" s="195">
        <v>11</v>
      </c>
      <c r="M63" s="236">
        <v>157889200</v>
      </c>
      <c r="N63" s="237">
        <v>16</v>
      </c>
      <c r="O63" s="236">
        <v>230649200</v>
      </c>
      <c r="P63" s="194">
        <f>+M63+O63</f>
        <v>388538400</v>
      </c>
      <c r="Q63" s="194">
        <f>M63/(1+F63)</f>
        <v>149655167.55000001</v>
      </c>
      <c r="R63" s="194">
        <f t="shared" si="38"/>
        <v>155716201.83577502</v>
      </c>
      <c r="S63" s="194">
        <f t="shared" si="39"/>
        <v>2172998.1642249823</v>
      </c>
      <c r="T63" s="194">
        <f>O63/(1+F63)</f>
        <v>218620682.55000001</v>
      </c>
      <c r="U63" s="194">
        <f t="shared" ref="U63:U65" si="42">($T63*$U$10)+$T63</f>
        <v>227474820.193275</v>
      </c>
      <c r="V63" s="194">
        <f t="shared" si="40"/>
        <v>3174379.8067249954</v>
      </c>
      <c r="W63" s="194">
        <f t="shared" si="41"/>
        <v>5347377.9709499776</v>
      </c>
      <c r="Y63" s="186"/>
      <c r="AA63" s="186"/>
      <c r="AB63" s="187"/>
      <c r="AC63" s="187"/>
      <c r="AD63" s="187"/>
      <c r="AE63" s="187"/>
      <c r="AF63" s="187"/>
      <c r="AG63" s="186"/>
    </row>
    <row r="64" spans="1:33" s="185" customFormat="1" ht="15.75" x14ac:dyDescent="0.25">
      <c r="B64" s="180" t="s">
        <v>559</v>
      </c>
      <c r="C64" s="180">
        <v>105878</v>
      </c>
      <c r="D64" s="267">
        <v>191</v>
      </c>
      <c r="E64" s="179">
        <v>13793103</v>
      </c>
      <c r="F64" s="181">
        <f t="shared" si="37"/>
        <v>5.5020034288151054E-2</v>
      </c>
      <c r="G64" s="179">
        <v>14552000</v>
      </c>
      <c r="H64" s="182">
        <v>7.0000000000000007E-2</v>
      </c>
      <c r="I64" s="183">
        <f>+(G64*H64)+G64</f>
        <v>15570640</v>
      </c>
      <c r="J64" s="182">
        <v>0.1</v>
      </c>
      <c r="K64" s="183">
        <f>+(G64*J64)+G64</f>
        <v>16007200</v>
      </c>
      <c r="L64" s="195">
        <v>8</v>
      </c>
      <c r="M64" s="236">
        <v>116416000</v>
      </c>
      <c r="N64" s="237">
        <v>11</v>
      </c>
      <c r="O64" s="236">
        <v>160072000</v>
      </c>
      <c r="P64" s="194">
        <f>+M64+O64</f>
        <v>276488000</v>
      </c>
      <c r="Q64" s="194">
        <f>M64/(1+F64)</f>
        <v>110344824</v>
      </c>
      <c r="R64" s="194">
        <f t="shared" si="38"/>
        <v>114813789.37199999</v>
      </c>
      <c r="S64" s="194">
        <f t="shared" si="39"/>
        <v>1602210.6280000061</v>
      </c>
      <c r="T64" s="194">
        <f>O64/(1+F64)</f>
        <v>151724133</v>
      </c>
      <c r="U64" s="194">
        <f t="shared" si="42"/>
        <v>157868960.3865</v>
      </c>
      <c r="V64" s="194">
        <f t="shared" si="40"/>
        <v>2203039.613499999</v>
      </c>
      <c r="W64" s="194">
        <f t="shared" si="41"/>
        <v>3805250.2415000051</v>
      </c>
      <c r="Y64" s="186"/>
      <c r="AA64" s="186"/>
      <c r="AB64" s="187"/>
      <c r="AC64" s="187"/>
      <c r="AD64" s="187"/>
      <c r="AE64" s="187"/>
      <c r="AF64" s="187"/>
      <c r="AG64" s="186"/>
    </row>
    <row r="65" spans="2:33" s="206" customFormat="1" ht="15.75" x14ac:dyDescent="0.25">
      <c r="B65" s="216" t="s">
        <v>562</v>
      </c>
      <c r="C65" s="216">
        <v>106387</v>
      </c>
      <c r="D65" s="217">
        <v>198</v>
      </c>
      <c r="E65" s="218">
        <v>0</v>
      </c>
      <c r="F65" s="201">
        <v>0</v>
      </c>
      <c r="G65" s="219">
        <v>11500000</v>
      </c>
      <c r="H65" s="202">
        <v>7.0000000000000007E-2</v>
      </c>
      <c r="I65" s="203">
        <f>+(G65*H65)+G65</f>
        <v>12305000</v>
      </c>
      <c r="J65" s="202">
        <v>0.1</v>
      </c>
      <c r="K65" s="203">
        <f>+(G65*J65)+G65</f>
        <v>12650000</v>
      </c>
      <c r="L65" s="204">
        <v>5</v>
      </c>
      <c r="M65" s="205">
        <v>57500000</v>
      </c>
      <c r="N65" s="204">
        <v>11</v>
      </c>
      <c r="O65" s="205">
        <v>126500000</v>
      </c>
      <c r="P65" s="205">
        <f>+M65+O65</f>
        <v>184000000</v>
      </c>
      <c r="Q65" s="205">
        <f>M65/(1+F65)</f>
        <v>57500000</v>
      </c>
      <c r="R65" s="205">
        <f t="shared" si="38"/>
        <v>59828750</v>
      </c>
      <c r="S65" s="205">
        <f t="shared" si="39"/>
        <v>-2328750</v>
      </c>
      <c r="T65" s="205">
        <f>O65/(1+F65)</f>
        <v>126500000</v>
      </c>
      <c r="U65" s="205">
        <f t="shared" si="42"/>
        <v>131623250</v>
      </c>
      <c r="V65" s="205">
        <f t="shared" si="40"/>
        <v>-5123250</v>
      </c>
      <c r="W65" s="205">
        <f t="shared" si="41"/>
        <v>-7452000</v>
      </c>
      <c r="Y65" s="207"/>
      <c r="AA65" s="207"/>
      <c r="AB65" s="208"/>
      <c r="AC65" s="208"/>
      <c r="AD65" s="208"/>
      <c r="AE65" s="208"/>
      <c r="AF65" s="208"/>
      <c r="AG65" s="207"/>
    </row>
    <row r="66" spans="2:33" ht="12.75" x14ac:dyDescent="0.2">
      <c r="B66" s="60" t="s">
        <v>503</v>
      </c>
      <c r="C66" s="60"/>
      <c r="D66" s="113"/>
      <c r="E66" s="159"/>
      <c r="F66" s="142"/>
      <c r="G66" s="166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Y66" s="122"/>
      <c r="AA66" s="122"/>
      <c r="AB66" s="121"/>
      <c r="AC66" s="121"/>
      <c r="AD66" s="121"/>
      <c r="AE66" s="121"/>
      <c r="AF66" s="121"/>
      <c r="AG66" s="122"/>
    </row>
    <row r="67" spans="2:33" s="185" customFormat="1" ht="15.75" x14ac:dyDescent="0.25">
      <c r="B67" s="180" t="s">
        <v>459</v>
      </c>
      <c r="C67" s="180">
        <v>1047</v>
      </c>
      <c r="D67" s="267">
        <v>30</v>
      </c>
      <c r="E67" s="234">
        <v>8737931</v>
      </c>
      <c r="F67" s="181">
        <f t="shared" si="37"/>
        <v>5.5055252782380659E-2</v>
      </c>
      <c r="G67" s="234">
        <v>9219000</v>
      </c>
      <c r="H67" s="182">
        <v>7.0000000000000007E-2</v>
      </c>
      <c r="I67" s="183">
        <f t="shared" ref="I67:I77" si="43">+(G67*H67)+G67</f>
        <v>9864330</v>
      </c>
      <c r="J67" s="182">
        <v>0.1</v>
      </c>
      <c r="K67" s="183">
        <f t="shared" ref="K67:K77" si="44">+(G67*J67)+G67</f>
        <v>10140900</v>
      </c>
      <c r="L67" s="195">
        <v>48</v>
      </c>
      <c r="M67" s="236">
        <v>419003550</v>
      </c>
      <c r="N67" s="237">
        <v>45</v>
      </c>
      <c r="O67" s="236">
        <v>391346550</v>
      </c>
      <c r="P67" s="194">
        <f>+M67+O67</f>
        <v>810350100</v>
      </c>
      <c r="Q67" s="194">
        <f t="shared" ref="Q67:Q77" si="45">M67/(1+F67)</f>
        <v>397138963.94999999</v>
      </c>
      <c r="R67" s="194">
        <f t="shared" ref="R67:R87" si="46">($Q67*$R$10)+$Q67</f>
        <v>413223091.98997498</v>
      </c>
      <c r="S67" s="194">
        <f t="shared" ref="S67:S77" si="47">M67-R67</f>
        <v>5780458.0100250244</v>
      </c>
      <c r="T67" s="194">
        <f t="shared" ref="T67:T77" si="48">O67/(1+F67)</f>
        <v>370925170.94999999</v>
      </c>
      <c r="U67" s="194">
        <f t="shared" ref="U67:U87" si="49">($T67*$U$10)+$T67</f>
        <v>385947640.37347502</v>
      </c>
      <c r="V67" s="194">
        <f t="shared" ref="V67:V77" si="50">O67-U67</f>
        <v>5398909.6265249848</v>
      </c>
      <c r="W67" s="194">
        <f t="shared" ref="W67:W77" si="51">S67+V67</f>
        <v>11179367.636550009</v>
      </c>
      <c r="Y67" s="186"/>
      <c r="AA67" s="186"/>
      <c r="AB67" s="187"/>
      <c r="AC67" s="187"/>
      <c r="AD67" s="187"/>
      <c r="AE67" s="187"/>
      <c r="AF67" s="187"/>
      <c r="AG67" s="186"/>
    </row>
    <row r="68" spans="2:33" s="185" customFormat="1" ht="15.75" x14ac:dyDescent="0.25">
      <c r="B68" s="180" t="s">
        <v>460</v>
      </c>
      <c r="C68" s="180">
        <v>16878</v>
      </c>
      <c r="D68" s="267">
        <v>30</v>
      </c>
      <c r="E68" s="179">
        <v>8737931</v>
      </c>
      <c r="F68" s="181">
        <f t="shared" si="37"/>
        <v>5.5055252782380659E-2</v>
      </c>
      <c r="G68" s="179">
        <v>9219000</v>
      </c>
      <c r="H68" s="182">
        <v>7.0000000000000007E-2</v>
      </c>
      <c r="I68" s="183">
        <f t="shared" si="43"/>
        <v>9864330</v>
      </c>
      <c r="J68" s="182">
        <v>0.1</v>
      </c>
      <c r="K68" s="183">
        <f t="shared" si="44"/>
        <v>10140900</v>
      </c>
      <c r="L68" s="195">
        <v>45</v>
      </c>
      <c r="M68" s="236">
        <v>395956050</v>
      </c>
      <c r="N68" s="237">
        <v>60</v>
      </c>
      <c r="O68" s="236">
        <v>529631550</v>
      </c>
      <c r="P68" s="194">
        <f t="shared" ref="P68:P77" si="52">+M68+O68</f>
        <v>925587600</v>
      </c>
      <c r="Q68" s="194">
        <f t="shared" si="45"/>
        <v>375294136.44999999</v>
      </c>
      <c r="R68" s="194">
        <f t="shared" si="46"/>
        <v>390493548.97622502</v>
      </c>
      <c r="S68" s="194">
        <f t="shared" si="47"/>
        <v>5462501.0237749815</v>
      </c>
      <c r="T68" s="194">
        <f t="shared" si="48"/>
        <v>501994135.94999999</v>
      </c>
      <c r="U68" s="194">
        <f t="shared" si="49"/>
        <v>522324898.455975</v>
      </c>
      <c r="V68" s="194">
        <f t="shared" si="50"/>
        <v>7306651.5440250039</v>
      </c>
      <c r="W68" s="194">
        <f t="shared" si="51"/>
        <v>12769152.567799985</v>
      </c>
      <c r="Y68" s="186"/>
      <c r="AA68" s="186"/>
      <c r="AB68" s="187"/>
      <c r="AC68" s="187"/>
      <c r="AD68" s="187"/>
      <c r="AE68" s="187"/>
      <c r="AF68" s="187"/>
      <c r="AG68" s="186"/>
    </row>
    <row r="69" spans="2:33" s="185" customFormat="1" ht="15.75" x14ac:dyDescent="0.25">
      <c r="B69" s="180" t="s">
        <v>461</v>
      </c>
      <c r="C69" s="180">
        <v>6576</v>
      </c>
      <c r="D69" s="267">
        <v>30</v>
      </c>
      <c r="E69" s="179">
        <v>8737931</v>
      </c>
      <c r="F69" s="181">
        <f t="shared" si="37"/>
        <v>5.5055252782380659E-2</v>
      </c>
      <c r="G69" s="179">
        <v>9219000</v>
      </c>
      <c r="H69" s="182">
        <v>7.0000000000000007E-2</v>
      </c>
      <c r="I69" s="183">
        <f t="shared" si="43"/>
        <v>9864330</v>
      </c>
      <c r="J69" s="182">
        <v>0.1</v>
      </c>
      <c r="K69" s="183">
        <f t="shared" si="44"/>
        <v>10140900</v>
      </c>
      <c r="L69" s="195">
        <v>20</v>
      </c>
      <c r="M69" s="236">
        <v>174239100</v>
      </c>
      <c r="N69" s="237">
        <v>28</v>
      </c>
      <c r="O69" s="236">
        <v>243381600</v>
      </c>
      <c r="P69" s="194">
        <f t="shared" si="52"/>
        <v>417620700</v>
      </c>
      <c r="Q69" s="194">
        <f t="shared" si="45"/>
        <v>165146895.90000001</v>
      </c>
      <c r="R69" s="194">
        <f t="shared" si="46"/>
        <v>171835345.18395001</v>
      </c>
      <c r="S69" s="194">
        <f t="shared" si="47"/>
        <v>2403754.816049993</v>
      </c>
      <c r="T69" s="194">
        <f t="shared" si="48"/>
        <v>230681378.40000001</v>
      </c>
      <c r="U69" s="194">
        <f t="shared" si="49"/>
        <v>240023974.2252</v>
      </c>
      <c r="V69" s="194">
        <f t="shared" si="50"/>
        <v>3357625.7748000026</v>
      </c>
      <c r="W69" s="194">
        <f t="shared" si="51"/>
        <v>5761380.5908499956</v>
      </c>
      <c r="Y69" s="186"/>
      <c r="AA69" s="186"/>
      <c r="AB69" s="187"/>
      <c r="AC69" s="187"/>
      <c r="AD69" s="187"/>
      <c r="AE69" s="187"/>
      <c r="AF69" s="187"/>
      <c r="AG69" s="186"/>
    </row>
    <row r="70" spans="2:33" s="132" customFormat="1" ht="15.75" x14ac:dyDescent="0.25">
      <c r="B70" s="196" t="s">
        <v>505</v>
      </c>
      <c r="C70" s="126">
        <v>1047</v>
      </c>
      <c r="D70" s="127">
        <v>30</v>
      </c>
      <c r="E70" s="149">
        <v>8737931</v>
      </c>
      <c r="F70" s="168">
        <f t="shared" si="37"/>
        <v>5.5055252782380659E-2</v>
      </c>
      <c r="G70" s="149">
        <v>9219000</v>
      </c>
      <c r="H70" s="128">
        <v>7.0000000000000007E-2</v>
      </c>
      <c r="I70" s="129">
        <f t="shared" si="43"/>
        <v>9864330</v>
      </c>
      <c r="J70" s="128">
        <v>0.1</v>
      </c>
      <c r="K70" s="129">
        <f t="shared" si="44"/>
        <v>10140900</v>
      </c>
      <c r="L70" s="130"/>
      <c r="M70" s="131">
        <f>+L70*G70</f>
        <v>0</v>
      </c>
      <c r="N70" s="130"/>
      <c r="O70" s="124">
        <v>0</v>
      </c>
      <c r="P70" s="131">
        <f t="shared" si="52"/>
        <v>0</v>
      </c>
      <c r="Q70" s="131">
        <f t="shared" si="45"/>
        <v>0</v>
      </c>
      <c r="R70" s="131">
        <f t="shared" si="46"/>
        <v>0</v>
      </c>
      <c r="S70" s="131">
        <f t="shared" si="47"/>
        <v>0</v>
      </c>
      <c r="T70" s="131">
        <f t="shared" si="48"/>
        <v>0</v>
      </c>
      <c r="U70" s="131">
        <f t="shared" si="49"/>
        <v>0</v>
      </c>
      <c r="V70" s="131">
        <f t="shared" si="50"/>
        <v>0</v>
      </c>
      <c r="W70" s="131">
        <f t="shared" si="51"/>
        <v>0</v>
      </c>
      <c r="Y70" s="122"/>
      <c r="Z70" s="63"/>
      <c r="AA70" s="122"/>
      <c r="AB70" s="121"/>
      <c r="AC70" s="121"/>
      <c r="AD70" s="121"/>
      <c r="AE70" s="134"/>
      <c r="AF70" s="134"/>
      <c r="AG70" s="133"/>
    </row>
    <row r="71" spans="2:33" s="185" customFormat="1" ht="15.75" x14ac:dyDescent="0.25">
      <c r="B71" s="180" t="s">
        <v>462</v>
      </c>
      <c r="C71" s="180">
        <v>53920</v>
      </c>
      <c r="D71" s="267">
        <v>28</v>
      </c>
      <c r="E71" s="179">
        <v>8612808</v>
      </c>
      <c r="F71" s="181">
        <f t="shared" si="37"/>
        <v>5.5056608715763788E-2</v>
      </c>
      <c r="G71" s="179">
        <v>9087000</v>
      </c>
      <c r="H71" s="182">
        <v>7.0000000000000007E-2</v>
      </c>
      <c r="I71" s="183">
        <f t="shared" si="43"/>
        <v>9723090</v>
      </c>
      <c r="J71" s="182">
        <v>0.1</v>
      </c>
      <c r="K71" s="183">
        <f t="shared" si="44"/>
        <v>9995700</v>
      </c>
      <c r="L71" s="195">
        <v>0</v>
      </c>
      <c r="M71" s="194">
        <f>+L71*G71</f>
        <v>0</v>
      </c>
      <c r="N71" s="195">
        <v>10</v>
      </c>
      <c r="O71" s="194">
        <v>90870000</v>
      </c>
      <c r="P71" s="194">
        <f t="shared" si="52"/>
        <v>90870000</v>
      </c>
      <c r="Q71" s="194">
        <f t="shared" si="45"/>
        <v>0</v>
      </c>
      <c r="R71" s="194">
        <f t="shared" si="46"/>
        <v>0</v>
      </c>
      <c r="S71" s="194">
        <f t="shared" si="47"/>
        <v>0</v>
      </c>
      <c r="T71" s="194">
        <f t="shared" si="48"/>
        <v>86128080</v>
      </c>
      <c r="U71" s="194">
        <f t="shared" si="49"/>
        <v>89616267.239999995</v>
      </c>
      <c r="V71" s="194">
        <f t="shared" si="50"/>
        <v>1253732.7600000054</v>
      </c>
      <c r="W71" s="194">
        <f t="shared" si="51"/>
        <v>1253732.7600000054</v>
      </c>
      <c r="Y71" s="186"/>
      <c r="AA71" s="186"/>
      <c r="AB71" s="187"/>
      <c r="AC71" s="187"/>
      <c r="AD71" s="187"/>
      <c r="AE71" s="187"/>
      <c r="AF71" s="187"/>
      <c r="AG71" s="186"/>
    </row>
    <row r="72" spans="2:33" s="185" customFormat="1" ht="15.75" x14ac:dyDescent="0.25">
      <c r="B72" s="180" t="s">
        <v>506</v>
      </c>
      <c r="C72" s="180">
        <v>105459</v>
      </c>
      <c r="D72" s="267">
        <v>24</v>
      </c>
      <c r="E72" s="179">
        <v>8737931</v>
      </c>
      <c r="F72" s="181">
        <f t="shared" si="37"/>
        <v>5.5055252782380659E-2</v>
      </c>
      <c r="G72" s="179">
        <v>9219000</v>
      </c>
      <c r="H72" s="182">
        <v>7.0000000000000007E-2</v>
      </c>
      <c r="I72" s="183">
        <f t="shared" si="43"/>
        <v>9864330</v>
      </c>
      <c r="J72" s="182">
        <v>0.1</v>
      </c>
      <c r="K72" s="183">
        <f t="shared" si="44"/>
        <v>10140900</v>
      </c>
      <c r="L72" s="195">
        <v>11</v>
      </c>
      <c r="M72" s="236">
        <v>96799500</v>
      </c>
      <c r="N72" s="237">
        <v>12</v>
      </c>
      <c r="O72" s="236">
        <v>106018500</v>
      </c>
      <c r="P72" s="194">
        <f t="shared" si="52"/>
        <v>202818000</v>
      </c>
      <c r="Q72" s="194">
        <f t="shared" si="45"/>
        <v>91748275.5</v>
      </c>
      <c r="R72" s="194">
        <f t="shared" si="46"/>
        <v>95464080.657749996</v>
      </c>
      <c r="S72" s="194">
        <f t="shared" si="47"/>
        <v>1335419.3422500044</v>
      </c>
      <c r="T72" s="194">
        <f t="shared" si="48"/>
        <v>100486206.5</v>
      </c>
      <c r="U72" s="194">
        <f t="shared" si="49"/>
        <v>104555897.86325</v>
      </c>
      <c r="V72" s="194">
        <f t="shared" si="50"/>
        <v>1462602.1367499977</v>
      </c>
      <c r="W72" s="194">
        <f t="shared" si="51"/>
        <v>2798021.4790000021</v>
      </c>
      <c r="Y72" s="186"/>
      <c r="AA72" s="186"/>
      <c r="AB72" s="187"/>
      <c r="AC72" s="187"/>
      <c r="AD72" s="187"/>
      <c r="AE72" s="187"/>
      <c r="AF72" s="187"/>
      <c r="AG72" s="186"/>
    </row>
    <row r="73" spans="2:33" ht="15.75" x14ac:dyDescent="0.25">
      <c r="B73" s="196" t="s">
        <v>507</v>
      </c>
      <c r="C73" s="126"/>
      <c r="D73" s="127">
        <v>24</v>
      </c>
      <c r="E73" s="123">
        <v>7738916</v>
      </c>
      <c r="F73" s="168">
        <f t="shared" si="37"/>
        <v>5.5057323273698833E-2</v>
      </c>
      <c r="G73" s="123">
        <v>8165000</v>
      </c>
      <c r="H73" s="74">
        <v>7.0000000000000007E-2</v>
      </c>
      <c r="I73" s="75">
        <f t="shared" si="43"/>
        <v>8736550</v>
      </c>
      <c r="J73" s="74">
        <v>0.1</v>
      </c>
      <c r="K73" s="75">
        <f t="shared" si="44"/>
        <v>8981500</v>
      </c>
      <c r="L73" s="130"/>
      <c r="M73" s="124">
        <v>0</v>
      </c>
      <c r="N73" s="125"/>
      <c r="O73" s="124">
        <v>0</v>
      </c>
      <c r="P73" s="124">
        <f t="shared" si="52"/>
        <v>0</v>
      </c>
      <c r="Q73" s="124">
        <f t="shared" si="45"/>
        <v>0</v>
      </c>
      <c r="R73" s="124">
        <f t="shared" si="46"/>
        <v>0</v>
      </c>
      <c r="S73" s="124">
        <f t="shared" si="47"/>
        <v>0</v>
      </c>
      <c r="T73" s="124">
        <f t="shared" si="48"/>
        <v>0</v>
      </c>
      <c r="U73" s="124">
        <f t="shared" si="49"/>
        <v>0</v>
      </c>
      <c r="V73" s="124">
        <f t="shared" si="50"/>
        <v>0</v>
      </c>
      <c r="W73" s="124">
        <f t="shared" si="51"/>
        <v>0</v>
      </c>
      <c r="Y73" s="122"/>
      <c r="AA73" s="122"/>
      <c r="AB73" s="121"/>
      <c r="AC73" s="121"/>
      <c r="AD73" s="121"/>
      <c r="AE73" s="121"/>
      <c r="AF73" s="121"/>
      <c r="AG73" s="122"/>
    </row>
    <row r="74" spans="2:33" s="185" customFormat="1" ht="15.75" x14ac:dyDescent="0.25">
      <c r="B74" s="180" t="s">
        <v>463</v>
      </c>
      <c r="C74" s="180">
        <v>52282</v>
      </c>
      <c r="D74" s="267">
        <v>44</v>
      </c>
      <c r="E74" s="179">
        <v>9051232</v>
      </c>
      <c r="F74" s="181">
        <f t="shared" si="37"/>
        <v>5.5104984603201013E-2</v>
      </c>
      <c r="G74" s="179">
        <v>9550000</v>
      </c>
      <c r="H74" s="182">
        <v>7.0000000000000007E-2</v>
      </c>
      <c r="I74" s="183">
        <f t="shared" si="43"/>
        <v>10218500</v>
      </c>
      <c r="J74" s="182">
        <v>0.1</v>
      </c>
      <c r="K74" s="183">
        <f t="shared" si="44"/>
        <v>10505000</v>
      </c>
      <c r="L74" s="195">
        <v>34</v>
      </c>
      <c r="M74" s="194">
        <v>305122500</v>
      </c>
      <c r="N74" s="195">
        <v>39</v>
      </c>
      <c r="O74" s="194">
        <v>352872500</v>
      </c>
      <c r="P74" s="194">
        <f t="shared" si="52"/>
        <v>657995000</v>
      </c>
      <c r="Q74" s="194">
        <f t="shared" si="45"/>
        <v>289186862.39999998</v>
      </c>
      <c r="R74" s="194">
        <f t="shared" si="46"/>
        <v>300898930.3272</v>
      </c>
      <c r="S74" s="194">
        <f t="shared" si="47"/>
        <v>4223569.6728000045</v>
      </c>
      <c r="T74" s="194">
        <f t="shared" si="48"/>
        <v>334443022.39999998</v>
      </c>
      <c r="U74" s="194">
        <f t="shared" si="49"/>
        <v>347987964.80719995</v>
      </c>
      <c r="V74" s="194">
        <f t="shared" si="50"/>
        <v>4884535.192800045</v>
      </c>
      <c r="W74" s="194">
        <f t="shared" si="51"/>
        <v>9108104.8656000495</v>
      </c>
      <c r="Y74" s="186"/>
      <c r="AA74" s="186"/>
      <c r="AB74" s="187"/>
      <c r="AC74" s="187"/>
      <c r="AD74" s="187"/>
      <c r="AE74" s="187"/>
      <c r="AF74" s="187"/>
      <c r="AG74" s="186"/>
    </row>
    <row r="75" spans="2:33" s="185" customFormat="1" ht="15.75" x14ac:dyDescent="0.25">
      <c r="B75" s="180" t="s">
        <v>464</v>
      </c>
      <c r="C75" s="180">
        <v>103306</v>
      </c>
      <c r="D75" s="267">
        <v>44</v>
      </c>
      <c r="E75" s="179">
        <v>9052217</v>
      </c>
      <c r="F75" s="181">
        <f t="shared" si="37"/>
        <v>5.4990175334948432E-2</v>
      </c>
      <c r="G75" s="179">
        <v>9550000</v>
      </c>
      <c r="H75" s="182">
        <v>7.0000000000000007E-2</v>
      </c>
      <c r="I75" s="183">
        <f t="shared" si="43"/>
        <v>10218500</v>
      </c>
      <c r="J75" s="182">
        <v>0.1</v>
      </c>
      <c r="K75" s="183">
        <f t="shared" si="44"/>
        <v>10505000</v>
      </c>
      <c r="L75" s="195">
        <v>39</v>
      </c>
      <c r="M75" s="236">
        <v>350007500</v>
      </c>
      <c r="N75" s="237">
        <v>42</v>
      </c>
      <c r="O75" s="236">
        <v>378657500</v>
      </c>
      <c r="P75" s="194">
        <f t="shared" si="52"/>
        <v>728665000</v>
      </c>
      <c r="Q75" s="194">
        <f t="shared" si="45"/>
        <v>331763753.04999995</v>
      </c>
      <c r="R75" s="194">
        <f t="shared" si="46"/>
        <v>345200185.04852498</v>
      </c>
      <c r="S75" s="194">
        <f t="shared" si="47"/>
        <v>4807314.9514750242</v>
      </c>
      <c r="T75" s="194">
        <f t="shared" si="48"/>
        <v>358920404.04999995</v>
      </c>
      <c r="U75" s="194">
        <f t="shared" si="49"/>
        <v>373456680.41402495</v>
      </c>
      <c r="V75" s="194">
        <f t="shared" si="50"/>
        <v>5200819.5859750509</v>
      </c>
      <c r="W75" s="194">
        <f t="shared" si="51"/>
        <v>10008134.537450075</v>
      </c>
      <c r="Y75" s="186"/>
      <c r="AA75" s="186"/>
      <c r="AB75" s="187"/>
      <c r="AC75" s="187"/>
      <c r="AD75" s="187"/>
      <c r="AE75" s="187"/>
      <c r="AF75" s="187"/>
      <c r="AG75" s="186"/>
    </row>
    <row r="76" spans="2:33" s="185" customFormat="1" ht="15.75" x14ac:dyDescent="0.25">
      <c r="B76" s="180" t="s">
        <v>508</v>
      </c>
      <c r="C76" s="180">
        <v>105373</v>
      </c>
      <c r="D76" s="267">
        <v>48</v>
      </c>
      <c r="E76" s="179">
        <v>8737931</v>
      </c>
      <c r="F76" s="181">
        <f t="shared" si="37"/>
        <v>5.5055252782380659E-2</v>
      </c>
      <c r="G76" s="179">
        <v>9219000</v>
      </c>
      <c r="H76" s="182">
        <v>7.0000000000000007E-2</v>
      </c>
      <c r="I76" s="183">
        <f t="shared" si="43"/>
        <v>9864330</v>
      </c>
      <c r="J76" s="182">
        <v>0.1</v>
      </c>
      <c r="K76" s="183">
        <f t="shared" si="44"/>
        <v>10140900</v>
      </c>
      <c r="L76" s="195">
        <v>24</v>
      </c>
      <c r="M76" s="236">
        <v>215263650</v>
      </c>
      <c r="N76" s="237">
        <v>23</v>
      </c>
      <c r="O76" s="236">
        <v>206044650</v>
      </c>
      <c r="P76" s="194">
        <f t="shared" si="52"/>
        <v>421308300</v>
      </c>
      <c r="Q76" s="194">
        <f t="shared" si="45"/>
        <v>204030688.84999999</v>
      </c>
      <c r="R76" s="194">
        <f t="shared" si="46"/>
        <v>212293931.74842501</v>
      </c>
      <c r="S76" s="194">
        <f t="shared" si="47"/>
        <v>2969718.2515749931</v>
      </c>
      <c r="T76" s="194">
        <f t="shared" si="48"/>
        <v>195292757.84999999</v>
      </c>
      <c r="U76" s="194">
        <f t="shared" si="49"/>
        <v>203202114.542925</v>
      </c>
      <c r="V76" s="194">
        <f t="shared" si="50"/>
        <v>2842535.4570749998</v>
      </c>
      <c r="W76" s="194">
        <f t="shared" si="51"/>
        <v>5812253.7086499929</v>
      </c>
      <c r="Y76" s="186"/>
      <c r="AA76" s="186"/>
      <c r="AB76" s="187"/>
      <c r="AC76" s="187"/>
      <c r="AD76" s="187"/>
      <c r="AE76" s="187"/>
      <c r="AF76" s="187"/>
      <c r="AG76" s="186"/>
    </row>
    <row r="77" spans="2:33" s="185" customFormat="1" ht="15.75" x14ac:dyDescent="0.25">
      <c r="B77" s="180" t="s">
        <v>465</v>
      </c>
      <c r="C77" s="180">
        <v>103819</v>
      </c>
      <c r="D77" s="267">
        <v>112</v>
      </c>
      <c r="E77" s="179">
        <v>14948768</v>
      </c>
      <c r="F77" s="181">
        <f t="shared" si="37"/>
        <v>5.500332870240543E-2</v>
      </c>
      <c r="G77" s="179">
        <v>15771000</v>
      </c>
      <c r="H77" s="182">
        <v>7.0000000000000007E-2</v>
      </c>
      <c r="I77" s="183">
        <f t="shared" si="43"/>
        <v>16874970</v>
      </c>
      <c r="J77" s="182">
        <v>0.1</v>
      </c>
      <c r="K77" s="183">
        <f t="shared" si="44"/>
        <v>17348100</v>
      </c>
      <c r="L77" s="195">
        <v>11</v>
      </c>
      <c r="M77" s="236">
        <v>128533650</v>
      </c>
      <c r="N77" s="237">
        <v>13</v>
      </c>
      <c r="O77" s="236">
        <v>112762650</v>
      </c>
      <c r="P77" s="194">
        <f t="shared" si="52"/>
        <v>241296300</v>
      </c>
      <c r="Q77" s="194">
        <f t="shared" si="45"/>
        <v>121832459.2</v>
      </c>
      <c r="R77" s="194">
        <f t="shared" si="46"/>
        <v>126766673.7976</v>
      </c>
      <c r="S77" s="194">
        <f t="shared" si="47"/>
        <v>1766976.2023999989</v>
      </c>
      <c r="T77" s="194">
        <f t="shared" si="48"/>
        <v>106883691.2</v>
      </c>
      <c r="U77" s="194">
        <f t="shared" si="49"/>
        <v>111212480.6936</v>
      </c>
      <c r="V77" s="194">
        <f t="shared" si="50"/>
        <v>1550169.306400001</v>
      </c>
      <c r="W77" s="194">
        <f t="shared" si="51"/>
        <v>3317145.5088</v>
      </c>
      <c r="Y77" s="186"/>
      <c r="AA77" s="186"/>
      <c r="AB77" s="187"/>
      <c r="AC77" s="187"/>
      <c r="AD77" s="187"/>
      <c r="AE77" s="187"/>
      <c r="AF77" s="187"/>
      <c r="AG77" s="186"/>
    </row>
    <row r="78" spans="2:33" ht="12.75" x14ac:dyDescent="0.2">
      <c r="B78" s="60" t="s">
        <v>504</v>
      </c>
      <c r="C78" s="60"/>
      <c r="D78" s="113"/>
      <c r="E78" s="158"/>
      <c r="F78" s="142"/>
      <c r="G78" s="167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Y78" s="122"/>
      <c r="AA78" s="122"/>
      <c r="AB78" s="121"/>
      <c r="AC78" s="121"/>
      <c r="AD78" s="121"/>
      <c r="AE78" s="121"/>
      <c r="AF78" s="121"/>
      <c r="AG78" s="122"/>
    </row>
    <row r="79" spans="2:33" s="185" customFormat="1" ht="15.75" x14ac:dyDescent="0.25">
      <c r="B79" s="246" t="s">
        <v>450</v>
      </c>
      <c r="C79" s="247">
        <v>1046</v>
      </c>
      <c r="D79" s="248"/>
      <c r="E79" s="240">
        <v>5516256</v>
      </c>
      <c r="F79" s="181">
        <f t="shared" si="37"/>
        <v>4.5092903592581557E-2</v>
      </c>
      <c r="G79" s="240">
        <v>5765000</v>
      </c>
      <c r="H79" s="182">
        <v>7.0000000000000007E-2</v>
      </c>
      <c r="I79" s="183">
        <f t="shared" ref="I79:I96" si="53">+(G79*H79)+G79</f>
        <v>6168550</v>
      </c>
      <c r="J79" s="182">
        <v>0.1</v>
      </c>
      <c r="K79" s="183">
        <f t="shared" ref="K79:K96" si="54">+(G79*J79)+G79</f>
        <v>6341500</v>
      </c>
      <c r="L79" s="195">
        <v>56</v>
      </c>
      <c r="M79" s="249">
        <v>316786750</v>
      </c>
      <c r="N79" s="237">
        <v>55</v>
      </c>
      <c r="O79" s="236">
        <v>311886500</v>
      </c>
      <c r="P79" s="194">
        <f t="shared" ref="P79:P86" si="55">+M79+O79</f>
        <v>628673250</v>
      </c>
      <c r="Q79" s="194">
        <f t="shared" ref="Q79:Q87" si="56">M79/(1+F79)</f>
        <v>303118267.20000005</v>
      </c>
      <c r="R79" s="194">
        <f t="shared" si="46"/>
        <v>315394557.02160007</v>
      </c>
      <c r="S79" s="194">
        <f t="shared" ref="S79:S87" si="57">M79-R79</f>
        <v>1392192.9783999324</v>
      </c>
      <c r="T79" s="194">
        <f t="shared" ref="T79:T87" si="58">O79/(1+F79)</f>
        <v>298429449.60000002</v>
      </c>
      <c r="U79" s="194">
        <f t="shared" si="49"/>
        <v>310515842.30880004</v>
      </c>
      <c r="V79" s="194">
        <f t="shared" ref="V79:V86" si="59">O79-U79</f>
        <v>1370657.6911999583</v>
      </c>
      <c r="W79" s="194">
        <f t="shared" ref="W79:W87" si="60">S79+V79</f>
        <v>2762850.6695998907</v>
      </c>
      <c r="Y79" s="186"/>
      <c r="AA79" s="186"/>
      <c r="AB79" s="187"/>
      <c r="AC79" s="187"/>
      <c r="AD79" s="187"/>
      <c r="AE79" s="187"/>
      <c r="AF79" s="187"/>
      <c r="AG79" s="186"/>
    </row>
    <row r="80" spans="2:33" s="185" customFormat="1" ht="15.75" x14ac:dyDescent="0.25">
      <c r="B80" s="250" t="s">
        <v>451</v>
      </c>
      <c r="C80" s="251">
        <v>8663</v>
      </c>
      <c r="D80" s="252">
        <v>26</v>
      </c>
      <c r="E80" s="240">
        <v>9351724</v>
      </c>
      <c r="F80" s="181">
        <f t="shared" si="37"/>
        <v>5.5099573084064435E-2</v>
      </c>
      <c r="G80" s="240">
        <v>9867000</v>
      </c>
      <c r="H80" s="182">
        <v>7.0000000000000007E-2</v>
      </c>
      <c r="I80" s="183">
        <f t="shared" si="53"/>
        <v>10557690</v>
      </c>
      <c r="J80" s="182">
        <v>0.1</v>
      </c>
      <c r="K80" s="183">
        <f t="shared" si="54"/>
        <v>10853700</v>
      </c>
      <c r="L80" s="195">
        <v>44</v>
      </c>
      <c r="M80" s="249">
        <v>389346250</v>
      </c>
      <c r="N80" s="237">
        <v>41</v>
      </c>
      <c r="O80" s="236">
        <v>358265200</v>
      </c>
      <c r="P80" s="194">
        <f t="shared" si="55"/>
        <v>747611450</v>
      </c>
      <c r="Q80" s="194">
        <f t="shared" si="56"/>
        <v>369013749.91740143</v>
      </c>
      <c r="R80" s="194">
        <f t="shared" si="46"/>
        <v>383958806.78905618</v>
      </c>
      <c r="S80" s="194">
        <f t="shared" si="57"/>
        <v>5387443.2109438181</v>
      </c>
      <c r="T80" s="194">
        <f t="shared" si="58"/>
        <v>339555819.31740147</v>
      </c>
      <c r="U80" s="194">
        <f t="shared" si="49"/>
        <v>353307829.99975622</v>
      </c>
      <c r="V80" s="194">
        <f t="shared" si="59"/>
        <v>4957370.000243783</v>
      </c>
      <c r="W80" s="194">
        <f t="shared" si="60"/>
        <v>10344813.211187601</v>
      </c>
      <c r="Y80" s="186"/>
      <c r="AA80" s="186"/>
      <c r="AB80" s="187"/>
      <c r="AC80" s="187"/>
      <c r="AD80" s="187"/>
      <c r="AE80" s="187"/>
      <c r="AF80" s="187"/>
      <c r="AG80" s="186"/>
    </row>
    <row r="81" spans="2:33" s="185" customFormat="1" ht="15.75" x14ac:dyDescent="0.25">
      <c r="B81" s="246" t="s">
        <v>452</v>
      </c>
      <c r="C81" s="247">
        <v>52218</v>
      </c>
      <c r="D81" s="248">
        <v>22</v>
      </c>
      <c r="E81" s="240">
        <v>7869951</v>
      </c>
      <c r="F81" s="181">
        <f t="shared" si="37"/>
        <v>5.5025628495018575E-2</v>
      </c>
      <c r="G81" s="240">
        <v>8303000</v>
      </c>
      <c r="H81" s="182">
        <v>7.0000000000000007E-2</v>
      </c>
      <c r="I81" s="183">
        <f t="shared" si="53"/>
        <v>8884210</v>
      </c>
      <c r="J81" s="182">
        <v>0.1</v>
      </c>
      <c r="K81" s="183">
        <f t="shared" si="54"/>
        <v>9133300</v>
      </c>
      <c r="L81" s="195">
        <v>33</v>
      </c>
      <c r="M81" s="249">
        <v>270262650</v>
      </c>
      <c r="N81" s="237">
        <v>37</v>
      </c>
      <c r="O81" s="236">
        <v>303474650</v>
      </c>
      <c r="P81" s="194">
        <f t="shared" si="55"/>
        <v>573737300</v>
      </c>
      <c r="Q81" s="194">
        <f t="shared" si="56"/>
        <v>256166905.05000001</v>
      </c>
      <c r="R81" s="194">
        <f t="shared" si="46"/>
        <v>266541664.70452502</v>
      </c>
      <c r="S81" s="194">
        <f t="shared" si="57"/>
        <v>3720985.2954749763</v>
      </c>
      <c r="T81" s="194">
        <f t="shared" si="58"/>
        <v>287646709.05000001</v>
      </c>
      <c r="U81" s="194">
        <f t="shared" si="49"/>
        <v>299296400.76652503</v>
      </c>
      <c r="V81" s="194">
        <f t="shared" si="59"/>
        <v>4178249.2334749699</v>
      </c>
      <c r="W81" s="194">
        <f t="shared" si="60"/>
        <v>7899234.5289499462</v>
      </c>
      <c r="Y81" s="186"/>
      <c r="AA81" s="186"/>
      <c r="AB81" s="187"/>
      <c r="AC81" s="187"/>
      <c r="AD81" s="187"/>
      <c r="AE81" s="187"/>
      <c r="AF81" s="187"/>
      <c r="AG81" s="186"/>
    </row>
    <row r="82" spans="2:33" s="206" customFormat="1" ht="15.75" x14ac:dyDescent="0.25">
      <c r="B82" s="209" t="s">
        <v>453</v>
      </c>
      <c r="C82" s="210">
        <v>19128</v>
      </c>
      <c r="D82" s="211">
        <v>26</v>
      </c>
      <c r="E82" s="200">
        <v>8368473</v>
      </c>
      <c r="F82" s="244">
        <f t="shared" si="37"/>
        <v>6.297445185032835E-5</v>
      </c>
      <c r="G82" s="200">
        <v>8369000</v>
      </c>
      <c r="H82" s="202">
        <v>7.0000000000000007E-2</v>
      </c>
      <c r="I82" s="203">
        <f t="shared" si="53"/>
        <v>8954830</v>
      </c>
      <c r="J82" s="202">
        <v>0.1</v>
      </c>
      <c r="K82" s="203">
        <f t="shared" si="54"/>
        <v>9205900</v>
      </c>
      <c r="L82" s="204">
        <v>44</v>
      </c>
      <c r="M82" s="200">
        <v>359736000</v>
      </c>
      <c r="N82" s="204">
        <v>52</v>
      </c>
      <c r="O82" s="205">
        <v>422503500</v>
      </c>
      <c r="P82" s="205">
        <f t="shared" si="55"/>
        <v>782239500</v>
      </c>
      <c r="Q82" s="205">
        <f t="shared" si="56"/>
        <v>359713347.24913377</v>
      </c>
      <c r="R82" s="205">
        <f t="shared" si="46"/>
        <v>374281737.8127237</v>
      </c>
      <c r="S82" s="205">
        <f t="shared" si="57"/>
        <v>-14545737.812723696</v>
      </c>
      <c r="T82" s="205">
        <f t="shared" si="58"/>
        <v>422476894.74913377</v>
      </c>
      <c r="U82" s="205">
        <f t="shared" si="49"/>
        <v>439587208.98647368</v>
      </c>
      <c r="V82" s="205">
        <f t="shared" si="59"/>
        <v>-17083708.98647368</v>
      </c>
      <c r="W82" s="205">
        <f t="shared" si="60"/>
        <v>-31629446.799197376</v>
      </c>
      <c r="Y82" s="207"/>
      <c r="AA82" s="207"/>
      <c r="AB82" s="208"/>
      <c r="AC82" s="208"/>
      <c r="AD82" s="208"/>
      <c r="AE82" s="208"/>
      <c r="AF82" s="208"/>
      <c r="AG82" s="207"/>
    </row>
    <row r="83" spans="2:33" s="185" customFormat="1" ht="15.75" x14ac:dyDescent="0.25">
      <c r="B83" s="246" t="s">
        <v>454</v>
      </c>
      <c r="C83" s="247">
        <v>102611</v>
      </c>
      <c r="D83" s="248">
        <v>26</v>
      </c>
      <c r="E83" s="240">
        <v>7588177</v>
      </c>
      <c r="F83" s="181">
        <f t="shared" si="37"/>
        <v>5.5062368734941192E-2</v>
      </c>
      <c r="G83" s="240">
        <v>8006000</v>
      </c>
      <c r="H83" s="182">
        <v>7.0000000000000007E-2</v>
      </c>
      <c r="I83" s="183">
        <f t="shared" si="53"/>
        <v>8566420</v>
      </c>
      <c r="J83" s="182">
        <v>0.1</v>
      </c>
      <c r="K83" s="183">
        <f t="shared" si="54"/>
        <v>8806600</v>
      </c>
      <c r="L83" s="195">
        <v>25</v>
      </c>
      <c r="M83" s="240">
        <v>197748200</v>
      </c>
      <c r="N83" s="195">
        <v>31</v>
      </c>
      <c r="O83" s="194">
        <v>246985100</v>
      </c>
      <c r="P83" s="194">
        <f t="shared" si="55"/>
        <v>444733300</v>
      </c>
      <c r="Q83" s="194">
        <f t="shared" si="56"/>
        <v>187427971.90000001</v>
      </c>
      <c r="R83" s="194">
        <f t="shared" si="46"/>
        <v>195018804.76195002</v>
      </c>
      <c r="S83" s="194">
        <f t="shared" si="57"/>
        <v>2729395.238049984</v>
      </c>
      <c r="T83" s="194">
        <f t="shared" si="58"/>
        <v>234095260.45000002</v>
      </c>
      <c r="U83" s="194">
        <f t="shared" si="49"/>
        <v>243576118.49822503</v>
      </c>
      <c r="V83" s="194">
        <f t="shared" si="59"/>
        <v>3408981.5017749667</v>
      </c>
      <c r="W83" s="194">
        <f t="shared" si="60"/>
        <v>6138376.7398249507</v>
      </c>
      <c r="Y83" s="186"/>
      <c r="AA83" s="186"/>
      <c r="AB83" s="187"/>
      <c r="AC83" s="187"/>
      <c r="AD83" s="187"/>
      <c r="AE83" s="187"/>
      <c r="AF83" s="187"/>
      <c r="AG83" s="186"/>
    </row>
    <row r="84" spans="2:33" s="185" customFormat="1" ht="15.75" x14ac:dyDescent="0.25">
      <c r="B84" s="253" t="s">
        <v>455</v>
      </c>
      <c r="C84" s="254">
        <v>54375</v>
      </c>
      <c r="D84" s="255">
        <v>33</v>
      </c>
      <c r="E84" s="240">
        <v>8614778</v>
      </c>
      <c r="F84" s="181">
        <f t="shared" si="37"/>
        <v>5.504750093386046E-2</v>
      </c>
      <c r="G84" s="240">
        <v>9089000</v>
      </c>
      <c r="H84" s="182">
        <v>7.0000000000000007E-2</v>
      </c>
      <c r="I84" s="183">
        <f t="shared" si="53"/>
        <v>9725230</v>
      </c>
      <c r="J84" s="182">
        <v>0.1</v>
      </c>
      <c r="K84" s="183">
        <f t="shared" si="54"/>
        <v>9997900</v>
      </c>
      <c r="L84" s="195">
        <v>0</v>
      </c>
      <c r="M84" s="194">
        <f>+L84*G84</f>
        <v>0</v>
      </c>
      <c r="N84" s="195">
        <v>15</v>
      </c>
      <c r="O84" s="236">
        <v>129518250</v>
      </c>
      <c r="P84" s="194">
        <f t="shared" si="55"/>
        <v>129518250</v>
      </c>
      <c r="Q84" s="194">
        <f t="shared" si="56"/>
        <v>0</v>
      </c>
      <c r="R84" s="194">
        <f t="shared" si="46"/>
        <v>0</v>
      </c>
      <c r="S84" s="194">
        <f t="shared" si="57"/>
        <v>0</v>
      </c>
      <c r="T84" s="194">
        <f t="shared" si="58"/>
        <v>122760586.5</v>
      </c>
      <c r="U84" s="194">
        <f t="shared" si="49"/>
        <v>127732390.25325</v>
      </c>
      <c r="V84" s="194">
        <f t="shared" si="59"/>
        <v>1785859.7467499971</v>
      </c>
      <c r="W84" s="194">
        <f t="shared" si="60"/>
        <v>1785859.7467499971</v>
      </c>
      <c r="Y84" s="186"/>
      <c r="AA84" s="186"/>
      <c r="AB84" s="187"/>
      <c r="AC84" s="187"/>
      <c r="AD84" s="187"/>
      <c r="AE84" s="187"/>
      <c r="AF84" s="187"/>
      <c r="AG84" s="186"/>
    </row>
    <row r="85" spans="2:33" s="185" customFormat="1" ht="15.75" x14ac:dyDescent="0.25">
      <c r="B85" s="250" t="s">
        <v>456</v>
      </c>
      <c r="C85" s="251">
        <v>53012</v>
      </c>
      <c r="D85" s="252">
        <v>48</v>
      </c>
      <c r="E85" s="240">
        <v>13087685</v>
      </c>
      <c r="F85" s="181">
        <f t="shared" si="37"/>
        <v>5.503761742431923E-2</v>
      </c>
      <c r="G85" s="240">
        <v>13808000</v>
      </c>
      <c r="H85" s="182">
        <v>7.0000000000000007E-2</v>
      </c>
      <c r="I85" s="183">
        <f t="shared" si="53"/>
        <v>14774560</v>
      </c>
      <c r="J85" s="182">
        <v>0.1</v>
      </c>
      <c r="K85" s="183">
        <f t="shared" si="54"/>
        <v>15188800</v>
      </c>
      <c r="L85" s="195">
        <v>108</v>
      </c>
      <c r="M85" s="249">
        <v>1326868000</v>
      </c>
      <c r="N85" s="195">
        <v>116</v>
      </c>
      <c r="O85" s="236">
        <v>1395908000</v>
      </c>
      <c r="P85" s="194">
        <f t="shared" si="55"/>
        <v>2722776000</v>
      </c>
      <c r="Q85" s="194">
        <f t="shared" si="56"/>
        <v>1257649943.5530126</v>
      </c>
      <c r="R85" s="194">
        <f t="shared" si="46"/>
        <v>1308584766.2669096</v>
      </c>
      <c r="S85" s="194">
        <f t="shared" si="57"/>
        <v>18283233.733090401</v>
      </c>
      <c r="T85" s="194">
        <f t="shared" si="58"/>
        <v>1323088368.5530126</v>
      </c>
      <c r="U85" s="194">
        <f t="shared" si="49"/>
        <v>1376673447.4794097</v>
      </c>
      <c r="V85" s="194">
        <f t="shared" si="59"/>
        <v>19234552.520590305</v>
      </c>
      <c r="W85" s="194">
        <f t="shared" si="60"/>
        <v>37517786.253680706</v>
      </c>
      <c r="Y85" s="186"/>
      <c r="AA85" s="186"/>
      <c r="AB85" s="187"/>
      <c r="AC85" s="187"/>
      <c r="AD85" s="187"/>
      <c r="AE85" s="187"/>
      <c r="AF85" s="187"/>
      <c r="AG85" s="186"/>
    </row>
    <row r="86" spans="2:33" s="229" customFormat="1" ht="15.75" x14ac:dyDescent="0.25">
      <c r="B86" s="221" t="s">
        <v>509</v>
      </c>
      <c r="C86" s="222"/>
      <c r="D86" s="223">
        <v>50</v>
      </c>
      <c r="E86" s="224">
        <v>10009852</v>
      </c>
      <c r="F86" s="245">
        <f t="shared" si="37"/>
        <v>5.50605543418623E-2</v>
      </c>
      <c r="G86" s="224">
        <v>10561000</v>
      </c>
      <c r="H86" s="225">
        <v>7.0000000000000007E-2</v>
      </c>
      <c r="I86" s="226">
        <f t="shared" si="53"/>
        <v>11300270</v>
      </c>
      <c r="J86" s="225">
        <v>0.1</v>
      </c>
      <c r="K86" s="226">
        <f t="shared" si="54"/>
        <v>11617100</v>
      </c>
      <c r="L86" s="227"/>
      <c r="M86" s="228">
        <f>+L86*G86</f>
        <v>0</v>
      </c>
      <c r="N86" s="227"/>
      <c r="O86" s="228">
        <f>+N86*G86</f>
        <v>0</v>
      </c>
      <c r="P86" s="228">
        <f t="shared" si="55"/>
        <v>0</v>
      </c>
      <c r="Q86" s="228">
        <f t="shared" si="56"/>
        <v>0</v>
      </c>
      <c r="R86" s="228">
        <f t="shared" si="46"/>
        <v>0</v>
      </c>
      <c r="S86" s="228">
        <f t="shared" si="57"/>
        <v>0</v>
      </c>
      <c r="T86" s="228">
        <f t="shared" si="58"/>
        <v>0</v>
      </c>
      <c r="U86" s="228">
        <f t="shared" si="49"/>
        <v>0</v>
      </c>
      <c r="V86" s="228">
        <f t="shared" si="59"/>
        <v>0</v>
      </c>
      <c r="W86" s="228">
        <f t="shared" si="60"/>
        <v>0</v>
      </c>
      <c r="Y86" s="230"/>
      <c r="AA86" s="230"/>
      <c r="AB86" s="231"/>
      <c r="AC86" s="231"/>
      <c r="AD86" s="231"/>
      <c r="AE86" s="231"/>
      <c r="AF86" s="231"/>
      <c r="AG86" s="230"/>
    </row>
    <row r="87" spans="2:33" s="185" customFormat="1" ht="15.75" x14ac:dyDescent="0.25">
      <c r="B87" s="246" t="s">
        <v>510</v>
      </c>
      <c r="C87" s="254">
        <v>103784</v>
      </c>
      <c r="D87" s="518">
        <v>50</v>
      </c>
      <c r="E87" s="240">
        <v>11287685</v>
      </c>
      <c r="F87" s="181">
        <f t="shared" si="37"/>
        <v>5.5043616117919747E-2</v>
      </c>
      <c r="G87" s="240">
        <v>11909000</v>
      </c>
      <c r="H87" s="182">
        <v>7.0000000000000007E-2</v>
      </c>
      <c r="I87" s="183">
        <f t="shared" si="53"/>
        <v>12742630</v>
      </c>
      <c r="J87" s="182">
        <v>0.1</v>
      </c>
      <c r="K87" s="183">
        <f t="shared" si="54"/>
        <v>13099900</v>
      </c>
      <c r="L87" s="520">
        <v>23</v>
      </c>
      <c r="M87" s="508">
        <v>246533256</v>
      </c>
      <c r="N87" s="523">
        <v>27</v>
      </c>
      <c r="O87" s="508">
        <v>300736162</v>
      </c>
      <c r="P87" s="504">
        <f>+M87+O87</f>
        <v>547269418</v>
      </c>
      <c r="Q87" s="504">
        <f t="shared" si="56"/>
        <v>233671150.87348726</v>
      </c>
      <c r="R87" s="504">
        <f t="shared" si="46"/>
        <v>243134832.4838635</v>
      </c>
      <c r="S87" s="504">
        <f t="shared" si="57"/>
        <v>3398423.5161364973</v>
      </c>
      <c r="T87" s="504">
        <f t="shared" si="58"/>
        <v>285046188.99697453</v>
      </c>
      <c r="U87" s="504">
        <f t="shared" si="49"/>
        <v>296590559.65135199</v>
      </c>
      <c r="V87" s="504">
        <f>O87-U87</f>
        <v>4145602.3486480117</v>
      </c>
      <c r="W87" s="504">
        <f t="shared" si="60"/>
        <v>7544025.8647845089</v>
      </c>
      <c r="Y87" s="186"/>
      <c r="AA87" s="186"/>
      <c r="AB87" s="187"/>
      <c r="AC87" s="187"/>
      <c r="AD87" s="187"/>
      <c r="AE87" s="187"/>
      <c r="AF87" s="187"/>
      <c r="AG87" s="186"/>
    </row>
    <row r="88" spans="2:33" s="185" customFormat="1" ht="15.75" x14ac:dyDescent="0.25">
      <c r="B88" s="250" t="s">
        <v>511</v>
      </c>
      <c r="C88" s="254">
        <v>103784</v>
      </c>
      <c r="D88" s="518"/>
      <c r="E88" s="240">
        <v>9814778</v>
      </c>
      <c r="F88" s="181">
        <f t="shared" si="37"/>
        <v>5.5041693250728718E-2</v>
      </c>
      <c r="G88" s="240">
        <v>10355000</v>
      </c>
      <c r="H88" s="182">
        <v>7.0000000000000007E-2</v>
      </c>
      <c r="I88" s="183">
        <f t="shared" si="53"/>
        <v>11079850</v>
      </c>
      <c r="J88" s="182">
        <v>0.1</v>
      </c>
      <c r="K88" s="183">
        <f t="shared" si="54"/>
        <v>11390500</v>
      </c>
      <c r="L88" s="521"/>
      <c r="M88" s="510"/>
      <c r="N88" s="524"/>
      <c r="O88" s="510"/>
      <c r="P88" s="511"/>
      <c r="Q88" s="511"/>
      <c r="R88" s="511"/>
      <c r="S88" s="511"/>
      <c r="T88" s="511"/>
      <c r="U88" s="511"/>
      <c r="V88" s="511"/>
      <c r="W88" s="511"/>
      <c r="Y88" s="186"/>
      <c r="AA88" s="186"/>
      <c r="AB88" s="187"/>
      <c r="AC88" s="187"/>
      <c r="AD88" s="187"/>
      <c r="AE88" s="187"/>
      <c r="AF88" s="187"/>
      <c r="AG88" s="186"/>
    </row>
    <row r="89" spans="2:33" s="185" customFormat="1" ht="15.75" x14ac:dyDescent="0.25">
      <c r="B89" s="256" t="s">
        <v>512</v>
      </c>
      <c r="C89" s="251">
        <v>103784</v>
      </c>
      <c r="D89" s="519"/>
      <c r="E89" s="240">
        <v>9990148</v>
      </c>
      <c r="F89" s="181">
        <f t="shared" si="37"/>
        <v>2.1206092242076924E-2</v>
      </c>
      <c r="G89" s="240">
        <v>10202000</v>
      </c>
      <c r="H89" s="182">
        <v>7.0000000000000007E-2</v>
      </c>
      <c r="I89" s="183">
        <f t="shared" si="53"/>
        <v>10916140</v>
      </c>
      <c r="J89" s="182">
        <v>0.1</v>
      </c>
      <c r="K89" s="183">
        <f t="shared" si="54"/>
        <v>11222200</v>
      </c>
      <c r="L89" s="522"/>
      <c r="M89" s="509"/>
      <c r="N89" s="525"/>
      <c r="O89" s="509"/>
      <c r="P89" s="505"/>
      <c r="Q89" s="505"/>
      <c r="R89" s="505"/>
      <c r="S89" s="505"/>
      <c r="T89" s="505"/>
      <c r="U89" s="505"/>
      <c r="V89" s="505"/>
      <c r="W89" s="505"/>
      <c r="Y89" s="186"/>
      <c r="AA89" s="186"/>
      <c r="AB89" s="187"/>
      <c r="AC89" s="187"/>
      <c r="AD89" s="187"/>
      <c r="AE89" s="187"/>
      <c r="AF89" s="187"/>
      <c r="AG89" s="186"/>
    </row>
    <row r="90" spans="2:33" s="185" customFormat="1" ht="15.75" x14ac:dyDescent="0.25">
      <c r="B90" s="246" t="s">
        <v>457</v>
      </c>
      <c r="C90" s="247">
        <v>102758</v>
      </c>
      <c r="D90" s="248">
        <v>52</v>
      </c>
      <c r="E90" s="240">
        <v>9351724</v>
      </c>
      <c r="F90" s="181">
        <f t="shared" si="37"/>
        <v>5.5099573084064435E-2</v>
      </c>
      <c r="G90" s="240">
        <v>9867000</v>
      </c>
      <c r="H90" s="182">
        <v>7.0000000000000007E-2</v>
      </c>
      <c r="I90" s="183">
        <f t="shared" si="53"/>
        <v>10557690</v>
      </c>
      <c r="J90" s="182">
        <v>0.1</v>
      </c>
      <c r="K90" s="183">
        <f t="shared" si="54"/>
        <v>10853700</v>
      </c>
      <c r="L90" s="195">
        <v>46</v>
      </c>
      <c r="M90" s="249">
        <v>405080250</v>
      </c>
      <c r="N90" s="237">
        <v>56</v>
      </c>
      <c r="O90" s="236">
        <v>488949750</v>
      </c>
      <c r="P90" s="194">
        <f t="shared" ref="P90:P96" si="61">+M90+O90</f>
        <v>894030000</v>
      </c>
      <c r="Q90" s="194">
        <f>M90/(1+F90)</f>
        <v>383926086.53602922</v>
      </c>
      <c r="R90" s="194">
        <f t="shared" ref="R90:R108" si="62">($Q90*$R$10)+$Q90</f>
        <v>399475093.0407384</v>
      </c>
      <c r="S90" s="194">
        <f t="shared" ref="S90:S96" si="63">M90-R90</f>
        <v>5605156.9592615962</v>
      </c>
      <c r="T90" s="194">
        <f>O90/(1+F90)</f>
        <v>463415740.53602922</v>
      </c>
      <c r="U90" s="194">
        <f t="shared" ref="U90:U108" si="64">($T90*$U$10)+$T90</f>
        <v>482184078.02773839</v>
      </c>
      <c r="V90" s="194">
        <f t="shared" ref="V90:V96" si="65">O90-U90</f>
        <v>6765671.9722616076</v>
      </c>
      <c r="W90" s="194">
        <f t="shared" ref="W90:W96" si="66">S90+V90</f>
        <v>12370828.931523204</v>
      </c>
      <c r="Y90" s="186"/>
      <c r="AA90" s="186"/>
      <c r="AB90" s="187"/>
      <c r="AC90" s="187"/>
      <c r="AD90" s="187"/>
      <c r="AE90" s="187"/>
      <c r="AF90" s="187"/>
      <c r="AG90" s="186"/>
    </row>
    <row r="91" spans="2:33" s="206" customFormat="1" ht="15.75" x14ac:dyDescent="0.25">
      <c r="B91" s="212" t="s">
        <v>458</v>
      </c>
      <c r="C91" s="213"/>
      <c r="D91" s="214">
        <v>50</v>
      </c>
      <c r="E91" s="200">
        <v>12649261</v>
      </c>
      <c r="F91" s="244">
        <f t="shared" si="37"/>
        <v>5.8422385307732583E-5</v>
      </c>
      <c r="G91" s="200">
        <v>12650000</v>
      </c>
      <c r="H91" s="202">
        <v>7.0000000000000007E-2</v>
      </c>
      <c r="I91" s="203">
        <f t="shared" si="53"/>
        <v>13535500</v>
      </c>
      <c r="J91" s="202">
        <v>0.1</v>
      </c>
      <c r="K91" s="203">
        <f t="shared" si="54"/>
        <v>13915000</v>
      </c>
      <c r="L91" s="204">
        <v>21</v>
      </c>
      <c r="M91" s="200">
        <v>250018573</v>
      </c>
      <c r="N91" s="204">
        <v>28</v>
      </c>
      <c r="O91" s="205">
        <v>316883387</v>
      </c>
      <c r="P91" s="205">
        <f t="shared" si="61"/>
        <v>566901960</v>
      </c>
      <c r="Q91" s="205">
        <f>M91/(1+F91)</f>
        <v>250003967.17190143</v>
      </c>
      <c r="R91" s="205">
        <f t="shared" si="62"/>
        <v>260129127.84236345</v>
      </c>
      <c r="S91" s="215">
        <f>M91-R91</f>
        <v>-10110554.842363447</v>
      </c>
      <c r="T91" s="205">
        <f>O91/(1+F91)</f>
        <v>316864874.99818236</v>
      </c>
      <c r="U91" s="205">
        <f t="shared" si="64"/>
        <v>329697902.43560874</v>
      </c>
      <c r="V91" s="205">
        <f t="shared" si="65"/>
        <v>-12814515.435608745</v>
      </c>
      <c r="W91" s="205">
        <f t="shared" si="66"/>
        <v>-22925070.277972192</v>
      </c>
      <c r="Y91" s="207"/>
      <c r="AA91" s="207"/>
      <c r="AB91" s="208"/>
      <c r="AC91" s="208"/>
      <c r="AD91" s="208"/>
      <c r="AE91" s="208"/>
      <c r="AF91" s="208"/>
      <c r="AG91" s="207"/>
    </row>
    <row r="92" spans="2:33" s="185" customFormat="1" ht="15.75" x14ac:dyDescent="0.25">
      <c r="B92" s="250" t="s">
        <v>594</v>
      </c>
      <c r="C92" s="251">
        <v>105155</v>
      </c>
      <c r="D92" s="252">
        <v>50</v>
      </c>
      <c r="E92" s="240">
        <v>15244000</v>
      </c>
      <c r="F92" s="181">
        <f t="shared" si="37"/>
        <v>5.5038047756494457E-2</v>
      </c>
      <c r="G92" s="240">
        <v>16083000</v>
      </c>
      <c r="H92" s="182">
        <v>7.0000000000000007E-2</v>
      </c>
      <c r="I92" s="183">
        <f t="shared" si="53"/>
        <v>17208810</v>
      </c>
      <c r="J92" s="182">
        <v>0.1</v>
      </c>
      <c r="K92" s="183">
        <f t="shared" si="54"/>
        <v>17691300</v>
      </c>
      <c r="L92" s="520">
        <v>14</v>
      </c>
      <c r="M92" s="508">
        <v>200254100</v>
      </c>
      <c r="N92" s="523">
        <v>30</v>
      </c>
      <c r="O92" s="508">
        <v>457582100</v>
      </c>
      <c r="P92" s="504">
        <f>+M92+O92</f>
        <v>657836200</v>
      </c>
      <c r="Q92" s="504">
        <f>M92/(1+F92)</f>
        <v>189807467.53715101</v>
      </c>
      <c r="R92" s="504">
        <f>($Q92*$R$10)+$Q92</f>
        <v>197494669.97240561</v>
      </c>
      <c r="S92" s="504">
        <f>M92-R92</f>
        <v>2759430.0275943875</v>
      </c>
      <c r="T92" s="504">
        <f>O92/(1+F92)</f>
        <v>433711467.53715098</v>
      </c>
      <c r="U92" s="504">
        <f>($T92*$U$10)+$T92</f>
        <v>451276781.97240561</v>
      </c>
      <c r="V92" s="504">
        <f>O92-U92</f>
        <v>6305318.0275943875</v>
      </c>
      <c r="W92" s="504">
        <f t="shared" si="66"/>
        <v>9064748.0551887751</v>
      </c>
      <c r="Y92" s="186"/>
      <c r="AA92" s="186"/>
      <c r="AB92" s="187"/>
      <c r="AC92" s="187"/>
      <c r="AD92" s="187"/>
      <c r="AE92" s="187"/>
      <c r="AF92" s="187"/>
      <c r="AG92" s="186"/>
    </row>
    <row r="93" spans="2:33" s="185" customFormat="1" ht="15.75" x14ac:dyDescent="0.25">
      <c r="B93" s="250" t="s">
        <v>563</v>
      </c>
      <c r="C93" s="251">
        <v>105155</v>
      </c>
      <c r="D93" s="252">
        <v>50</v>
      </c>
      <c r="E93" s="240">
        <v>15244000</v>
      </c>
      <c r="F93" s="181">
        <f t="shared" si="37"/>
        <v>0</v>
      </c>
      <c r="G93" s="240">
        <v>15244000</v>
      </c>
      <c r="H93" s="182">
        <v>7.0000000000000007E-2</v>
      </c>
      <c r="I93" s="183">
        <f t="shared" si="53"/>
        <v>16311080</v>
      </c>
      <c r="J93" s="182">
        <v>0.1</v>
      </c>
      <c r="K93" s="183">
        <f t="shared" si="54"/>
        <v>16768400</v>
      </c>
      <c r="L93" s="521"/>
      <c r="M93" s="510"/>
      <c r="N93" s="524"/>
      <c r="O93" s="510"/>
      <c r="P93" s="511"/>
      <c r="Q93" s="511"/>
      <c r="R93" s="511"/>
      <c r="S93" s="511"/>
      <c r="T93" s="511"/>
      <c r="U93" s="511"/>
      <c r="V93" s="511"/>
      <c r="W93" s="511"/>
      <c r="Y93" s="186"/>
      <c r="AA93" s="186"/>
      <c r="AB93" s="187"/>
      <c r="AC93" s="187"/>
      <c r="AD93" s="187"/>
      <c r="AE93" s="187"/>
      <c r="AF93" s="187"/>
      <c r="AG93" s="186"/>
    </row>
    <row r="94" spans="2:33" s="185" customFormat="1" ht="15.75" x14ac:dyDescent="0.25">
      <c r="B94" s="250" t="s">
        <v>564</v>
      </c>
      <c r="C94" s="251">
        <v>105155</v>
      </c>
      <c r="D94" s="252">
        <v>50</v>
      </c>
      <c r="E94" s="240">
        <v>14800000</v>
      </c>
      <c r="F94" s="181">
        <f t="shared" si="37"/>
        <v>0</v>
      </c>
      <c r="G94" s="240">
        <v>14800000</v>
      </c>
      <c r="H94" s="182">
        <v>7.0000000000000007E-2</v>
      </c>
      <c r="I94" s="183">
        <f t="shared" si="53"/>
        <v>15836000</v>
      </c>
      <c r="J94" s="182">
        <v>0.1</v>
      </c>
      <c r="K94" s="183">
        <f t="shared" si="54"/>
        <v>16280000</v>
      </c>
      <c r="L94" s="522"/>
      <c r="M94" s="509"/>
      <c r="N94" s="525"/>
      <c r="O94" s="509"/>
      <c r="P94" s="505"/>
      <c r="Q94" s="505"/>
      <c r="R94" s="505"/>
      <c r="S94" s="505"/>
      <c r="T94" s="505"/>
      <c r="U94" s="505"/>
      <c r="V94" s="505"/>
      <c r="W94" s="505"/>
      <c r="Y94" s="186"/>
      <c r="AA94" s="186"/>
      <c r="AB94" s="187"/>
      <c r="AC94" s="187"/>
      <c r="AD94" s="187"/>
      <c r="AE94" s="187"/>
      <c r="AF94" s="187"/>
      <c r="AG94" s="186"/>
    </row>
    <row r="95" spans="2:33" s="185" customFormat="1" ht="15.75" x14ac:dyDescent="0.25">
      <c r="B95" s="246" t="s">
        <v>556</v>
      </c>
      <c r="C95" s="247">
        <v>105077</v>
      </c>
      <c r="D95" s="248">
        <v>52</v>
      </c>
      <c r="E95" s="240">
        <v>12087882</v>
      </c>
      <c r="F95" s="181">
        <f t="shared" si="37"/>
        <v>5.5023535140399371E-2</v>
      </c>
      <c r="G95" s="240">
        <v>12753000</v>
      </c>
      <c r="H95" s="182">
        <v>7.0000000000000007E-2</v>
      </c>
      <c r="I95" s="183">
        <f t="shared" si="53"/>
        <v>13645710</v>
      </c>
      <c r="J95" s="182">
        <v>0.1</v>
      </c>
      <c r="K95" s="183">
        <f t="shared" si="54"/>
        <v>14028300</v>
      </c>
      <c r="L95" s="195">
        <v>1</v>
      </c>
      <c r="M95" s="257">
        <v>7861320</v>
      </c>
      <c r="N95" s="237">
        <v>8</v>
      </c>
      <c r="O95" s="236">
        <v>67109634</v>
      </c>
      <c r="P95" s="194">
        <f>+M95+O95</f>
        <v>74970954</v>
      </c>
      <c r="Q95" s="194">
        <f>M95/(1+F95)</f>
        <v>7451321.9261538452</v>
      </c>
      <c r="R95" s="194">
        <f t="shared" si="62"/>
        <v>7753100.4641630761</v>
      </c>
      <c r="S95" s="194">
        <f t="shared" si="63"/>
        <v>108219.53583692387</v>
      </c>
      <c r="T95" s="194">
        <f>O95/(1+F95)</f>
        <v>63609608.47292307</v>
      </c>
      <c r="U95" s="194">
        <f t="shared" si="64"/>
        <v>66185797.616076455</v>
      </c>
      <c r="V95" s="194">
        <f t="shared" si="65"/>
        <v>923836.38392354548</v>
      </c>
      <c r="W95" s="194">
        <f t="shared" si="66"/>
        <v>1032055.9197604693</v>
      </c>
      <c r="Y95" s="186"/>
      <c r="AA95" s="186"/>
      <c r="AB95" s="187"/>
      <c r="AC95" s="187"/>
      <c r="AD95" s="187"/>
      <c r="AE95" s="187"/>
      <c r="AF95" s="187"/>
      <c r="AG95" s="186"/>
    </row>
    <row r="96" spans="2:33" s="185" customFormat="1" ht="15.75" x14ac:dyDescent="0.25">
      <c r="B96" s="250" t="s">
        <v>557</v>
      </c>
      <c r="C96" s="251">
        <v>105642</v>
      </c>
      <c r="D96" s="252">
        <v>112</v>
      </c>
      <c r="E96" s="240">
        <v>12087685</v>
      </c>
      <c r="F96" s="181">
        <f t="shared" si="37"/>
        <v>5.5040729469704175E-2</v>
      </c>
      <c r="G96" s="240">
        <v>12753000</v>
      </c>
      <c r="H96" s="182">
        <v>7.0000000000000007E-2</v>
      </c>
      <c r="I96" s="183">
        <f t="shared" si="53"/>
        <v>13645710</v>
      </c>
      <c r="J96" s="182">
        <v>0.1</v>
      </c>
      <c r="K96" s="183">
        <f t="shared" si="54"/>
        <v>14028300</v>
      </c>
      <c r="L96" s="195">
        <v>8</v>
      </c>
      <c r="M96" s="249">
        <v>68664550</v>
      </c>
      <c r="N96" s="237">
        <v>11</v>
      </c>
      <c r="O96" s="236">
        <v>105963050</v>
      </c>
      <c r="P96" s="194">
        <f t="shared" si="61"/>
        <v>174627600</v>
      </c>
      <c r="Q96" s="194">
        <f>M96/(1+F96)</f>
        <v>65082368.938034184</v>
      </c>
      <c r="R96" s="194">
        <f t="shared" si="62"/>
        <v>67718204.880024567</v>
      </c>
      <c r="S96" s="194">
        <f t="shared" si="63"/>
        <v>946345.11997543275</v>
      </c>
      <c r="T96" s="194">
        <f>O96/(1+F96)</f>
        <v>100435032.54444051</v>
      </c>
      <c r="U96" s="194">
        <f t="shared" si="64"/>
        <v>104502651.36249036</v>
      </c>
      <c r="V96" s="194">
        <f t="shared" si="65"/>
        <v>1460398.637509644</v>
      </c>
      <c r="W96" s="194">
        <f t="shared" si="66"/>
        <v>2406743.7574850768</v>
      </c>
      <c r="Y96" s="186"/>
      <c r="AA96" s="186"/>
      <c r="AB96" s="187"/>
      <c r="AC96" s="187"/>
      <c r="AD96" s="187"/>
      <c r="AE96" s="187"/>
      <c r="AG96" s="186"/>
    </row>
    <row r="97" spans="2:33" ht="12.75" x14ac:dyDescent="0.2">
      <c r="B97" s="60" t="s">
        <v>448</v>
      </c>
      <c r="C97" s="60"/>
      <c r="D97" s="113"/>
      <c r="E97" s="158"/>
      <c r="F97" s="142"/>
      <c r="G97" s="167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Y97" s="122"/>
      <c r="AA97" s="122"/>
      <c r="AB97" s="121"/>
      <c r="AC97" s="121"/>
      <c r="AD97" s="121"/>
      <c r="AE97" s="121"/>
      <c r="AG97" s="122"/>
    </row>
    <row r="98" spans="2:33" s="206" customFormat="1" ht="15.75" x14ac:dyDescent="0.25">
      <c r="B98" s="197" t="s">
        <v>466</v>
      </c>
      <c r="C98" s="198">
        <v>11965</v>
      </c>
      <c r="D98" s="199">
        <v>20</v>
      </c>
      <c r="E98" s="200">
        <v>5081773</v>
      </c>
      <c r="F98" s="244">
        <f t="shared" si="37"/>
        <v>4.4669449028811314E-5</v>
      </c>
      <c r="G98" s="200">
        <v>5082000</v>
      </c>
      <c r="H98" s="202">
        <v>7.0000000000000007E-2</v>
      </c>
      <c r="I98" s="203">
        <f t="shared" ref="I98:I110" si="67">+(G98*H98)+G98</f>
        <v>5437740</v>
      </c>
      <c r="J98" s="202">
        <v>0.1</v>
      </c>
      <c r="K98" s="203">
        <f t="shared" ref="K98:K110" si="68">+(G98*J98)+G98</f>
        <v>5590200</v>
      </c>
      <c r="L98" s="204">
        <v>58</v>
      </c>
      <c r="M98" s="205">
        <v>285182200</v>
      </c>
      <c r="N98" s="204">
        <v>51</v>
      </c>
      <c r="O98" s="205">
        <v>250370500</v>
      </c>
      <c r="P98" s="205">
        <f t="shared" ref="P98:P108" si="69">+M98+O98</f>
        <v>535552700</v>
      </c>
      <c r="Q98" s="205">
        <f t="shared" ref="Q98:Q108" si="70">M98/(1+F98)</f>
        <v>285169461.63726884</v>
      </c>
      <c r="R98" s="205">
        <f t="shared" si="62"/>
        <v>296718824.83357823</v>
      </c>
      <c r="S98" s="205">
        <f>M98-R98</f>
        <v>-11536624.833578229</v>
      </c>
      <c r="T98" s="205">
        <f t="shared" ref="T98:T108" si="71">O98/(1+F98)</f>
        <v>250359316.58726883</v>
      </c>
      <c r="U98" s="205">
        <f t="shared" si="64"/>
        <v>260498868.90905321</v>
      </c>
      <c r="V98" s="205">
        <f t="shared" ref="V98:V108" si="72">O98-U98</f>
        <v>-10128368.909053206</v>
      </c>
      <c r="W98" s="205">
        <f t="shared" ref="W98:W108" si="73">S98+V98</f>
        <v>-21664993.742631435</v>
      </c>
      <c r="Y98" s="207"/>
      <c r="AA98" s="207"/>
      <c r="AB98" s="208"/>
      <c r="AC98" s="208"/>
      <c r="AD98" s="208"/>
      <c r="AE98" s="208"/>
      <c r="AG98" s="207"/>
    </row>
    <row r="99" spans="2:33" s="185" customFormat="1" ht="15.75" x14ac:dyDescent="0.25">
      <c r="B99" s="250" t="s">
        <v>467</v>
      </c>
      <c r="C99" s="251">
        <v>101784</v>
      </c>
      <c r="D99" s="252">
        <v>24</v>
      </c>
      <c r="E99" s="240">
        <v>8371429</v>
      </c>
      <c r="F99" s="181">
        <f t="shared" si="37"/>
        <v>4.5102335574965791E-2</v>
      </c>
      <c r="G99" s="240">
        <v>8749000</v>
      </c>
      <c r="H99" s="182">
        <v>7.0000000000000007E-2</v>
      </c>
      <c r="I99" s="183">
        <f t="shared" si="67"/>
        <v>9361430</v>
      </c>
      <c r="J99" s="182">
        <v>0.1</v>
      </c>
      <c r="K99" s="183">
        <f t="shared" si="68"/>
        <v>9623900</v>
      </c>
      <c r="L99" s="195">
        <v>27</v>
      </c>
      <c r="M99" s="236">
        <v>225561250</v>
      </c>
      <c r="N99" s="237">
        <v>33</v>
      </c>
      <c r="O99" s="236">
        <v>279155250</v>
      </c>
      <c r="P99" s="194">
        <f t="shared" si="69"/>
        <v>504716500</v>
      </c>
      <c r="Q99" s="194">
        <f t="shared" si="70"/>
        <v>215826950.4544805</v>
      </c>
      <c r="R99" s="194">
        <f t="shared" si="62"/>
        <v>224567941.94788694</v>
      </c>
      <c r="S99" s="194">
        <f>M99-R99</f>
        <v>993308.05211305618</v>
      </c>
      <c r="T99" s="194">
        <f t="shared" si="71"/>
        <v>267108052.96059549</v>
      </c>
      <c r="U99" s="194">
        <f t="shared" si="64"/>
        <v>277925929.10549963</v>
      </c>
      <c r="V99" s="194">
        <f t="shared" si="72"/>
        <v>1229320.8945003748</v>
      </c>
      <c r="W99" s="194">
        <f t="shared" si="73"/>
        <v>2222628.946613431</v>
      </c>
      <c r="Y99" s="186"/>
      <c r="AA99" s="186"/>
      <c r="AB99" s="187"/>
      <c r="AC99" s="187"/>
      <c r="AD99" s="187"/>
      <c r="AE99" s="187"/>
      <c r="AG99" s="186"/>
    </row>
    <row r="100" spans="2:33" s="185" customFormat="1" ht="15.75" x14ac:dyDescent="0.25">
      <c r="B100" s="246" t="s">
        <v>468</v>
      </c>
      <c r="C100" s="247">
        <v>102637</v>
      </c>
      <c r="D100" s="248">
        <v>25</v>
      </c>
      <c r="E100" s="240">
        <v>7218719</v>
      </c>
      <c r="F100" s="181">
        <f t="shared" si="37"/>
        <v>4.506076493627198E-2</v>
      </c>
      <c r="G100" s="240">
        <v>7544000</v>
      </c>
      <c r="H100" s="182">
        <v>7.0000000000000007E-2</v>
      </c>
      <c r="I100" s="183">
        <f t="shared" si="67"/>
        <v>8072080</v>
      </c>
      <c r="J100" s="182">
        <v>0.1</v>
      </c>
      <c r="K100" s="183">
        <f t="shared" si="68"/>
        <v>8298400</v>
      </c>
      <c r="L100" s="195">
        <v>53</v>
      </c>
      <c r="M100" s="236">
        <v>376516000</v>
      </c>
      <c r="N100" s="237">
        <v>50</v>
      </c>
      <c r="O100" s="236">
        <v>357884000</v>
      </c>
      <c r="P100" s="194">
        <f t="shared" si="69"/>
        <v>734400000</v>
      </c>
      <c r="Q100" s="194">
        <f t="shared" si="70"/>
        <v>360281442.60392362</v>
      </c>
      <c r="R100" s="194">
        <f t="shared" si="62"/>
        <v>374872841.02938253</v>
      </c>
      <c r="S100" s="194">
        <f t="shared" ref="S100:S108" si="74">M100-R100</f>
        <v>1643158.9706174731</v>
      </c>
      <c r="T100" s="194">
        <f t="shared" si="71"/>
        <v>342452814.2359491</v>
      </c>
      <c r="U100" s="194">
        <f t="shared" si="64"/>
        <v>356322153.21250504</v>
      </c>
      <c r="V100" s="194">
        <f t="shared" si="72"/>
        <v>1561846.7874949574</v>
      </c>
      <c r="W100" s="194">
        <f t="shared" si="73"/>
        <v>3205005.7581124306</v>
      </c>
      <c r="Y100" s="186"/>
      <c r="AA100" s="186"/>
      <c r="AB100" s="187"/>
      <c r="AC100" s="187"/>
      <c r="AD100" s="187"/>
      <c r="AE100" s="187"/>
      <c r="AG100" s="186"/>
    </row>
    <row r="101" spans="2:33" s="185" customFormat="1" ht="15.75" x14ac:dyDescent="0.25">
      <c r="B101" s="253" t="s">
        <v>469</v>
      </c>
      <c r="C101" s="254">
        <v>54588</v>
      </c>
      <c r="D101" s="255">
        <v>27</v>
      </c>
      <c r="E101" s="240">
        <v>5740887</v>
      </c>
      <c r="F101" s="181">
        <f t="shared" si="37"/>
        <v>4.5134662988489449E-2</v>
      </c>
      <c r="G101" s="240">
        <v>6000000</v>
      </c>
      <c r="H101" s="182">
        <v>7.0000000000000007E-2</v>
      </c>
      <c r="I101" s="183">
        <f t="shared" si="67"/>
        <v>6420000</v>
      </c>
      <c r="J101" s="182">
        <v>0.1</v>
      </c>
      <c r="K101" s="183">
        <f t="shared" si="68"/>
        <v>6600000</v>
      </c>
      <c r="L101" s="195">
        <v>44</v>
      </c>
      <c r="M101" s="236">
        <v>259500000</v>
      </c>
      <c r="N101" s="237">
        <v>37</v>
      </c>
      <c r="O101" s="236">
        <v>219300000</v>
      </c>
      <c r="P101" s="194">
        <f t="shared" si="69"/>
        <v>478800000</v>
      </c>
      <c r="Q101" s="194">
        <f t="shared" si="70"/>
        <v>248293362.75</v>
      </c>
      <c r="R101" s="194">
        <f t="shared" si="62"/>
        <v>258349243.94137499</v>
      </c>
      <c r="S101" s="194">
        <f t="shared" si="74"/>
        <v>1150756.0586250126</v>
      </c>
      <c r="T101" s="194">
        <f t="shared" si="71"/>
        <v>209829419.84999999</v>
      </c>
      <c r="U101" s="194">
        <f t="shared" si="64"/>
        <v>218327511.35392499</v>
      </c>
      <c r="V101" s="194">
        <f t="shared" si="72"/>
        <v>972488.6460750103</v>
      </c>
      <c r="W101" s="194">
        <f t="shared" si="73"/>
        <v>2123244.7047000229</v>
      </c>
      <c r="Y101" s="186"/>
      <c r="AA101" s="186"/>
      <c r="AB101" s="187"/>
      <c r="AC101" s="187"/>
      <c r="AD101" s="187"/>
      <c r="AE101" s="187"/>
      <c r="AG101" s="186"/>
    </row>
    <row r="102" spans="2:33" s="206" customFormat="1" ht="15.75" x14ac:dyDescent="0.25">
      <c r="B102" s="209" t="s">
        <v>470</v>
      </c>
      <c r="C102" s="210"/>
      <c r="D102" s="211">
        <v>26</v>
      </c>
      <c r="E102" s="200">
        <v>6842365</v>
      </c>
      <c r="F102" s="244">
        <f t="shared" si="37"/>
        <v>2.011512101444457E-2</v>
      </c>
      <c r="G102" s="200">
        <v>6980000</v>
      </c>
      <c r="H102" s="202">
        <v>7.0000000000000007E-2</v>
      </c>
      <c r="I102" s="203">
        <f t="shared" si="67"/>
        <v>7468600</v>
      </c>
      <c r="J102" s="202">
        <v>0.1</v>
      </c>
      <c r="K102" s="203">
        <f t="shared" si="68"/>
        <v>7678000</v>
      </c>
      <c r="L102" s="204">
        <v>25</v>
      </c>
      <c r="M102" s="205">
        <v>169359000</v>
      </c>
      <c r="N102" s="204">
        <v>30</v>
      </c>
      <c r="O102" s="205">
        <v>205259000</v>
      </c>
      <c r="P102" s="205">
        <f t="shared" si="69"/>
        <v>374618000</v>
      </c>
      <c r="Q102" s="205">
        <f t="shared" si="70"/>
        <v>166019497.7127507</v>
      </c>
      <c r="R102" s="205">
        <f t="shared" si="62"/>
        <v>172743287.3701171</v>
      </c>
      <c r="S102" s="205">
        <f t="shared" si="74"/>
        <v>-3384287.3701170981</v>
      </c>
      <c r="T102" s="205">
        <f t="shared" si="71"/>
        <v>201211604.23137537</v>
      </c>
      <c r="U102" s="205">
        <f t="shared" si="64"/>
        <v>209360674.20274606</v>
      </c>
      <c r="V102" s="205">
        <f t="shared" si="72"/>
        <v>-4101674.2027460635</v>
      </c>
      <c r="W102" s="205">
        <f t="shared" si="73"/>
        <v>-7485961.5728631616</v>
      </c>
      <c r="Y102" s="207"/>
      <c r="AA102" s="207"/>
      <c r="AB102" s="208"/>
      <c r="AC102" s="208"/>
      <c r="AD102" s="208"/>
      <c r="AE102" s="208"/>
      <c r="AG102" s="207"/>
    </row>
    <row r="103" spans="2:33" s="206" customFormat="1" ht="15.75" x14ac:dyDescent="0.25">
      <c r="B103" s="209" t="s">
        <v>555</v>
      </c>
      <c r="C103" s="210"/>
      <c r="D103" s="211">
        <v>93</v>
      </c>
      <c r="E103" s="200">
        <v>15013793</v>
      </c>
      <c r="F103" s="244">
        <f t="shared" si="37"/>
        <v>1.3787322097780219E-5</v>
      </c>
      <c r="G103" s="200">
        <v>15014000</v>
      </c>
      <c r="H103" s="202">
        <v>7.0000000000000007E-2</v>
      </c>
      <c r="I103" s="203">
        <f t="shared" si="67"/>
        <v>16064980</v>
      </c>
      <c r="J103" s="202">
        <v>0.1</v>
      </c>
      <c r="K103" s="203">
        <f t="shared" si="68"/>
        <v>16515400</v>
      </c>
      <c r="L103" s="204">
        <v>3</v>
      </c>
      <c r="M103" s="205">
        <v>45042000</v>
      </c>
      <c r="N103" s="204">
        <v>3</v>
      </c>
      <c r="O103" s="205">
        <v>45042000</v>
      </c>
      <c r="P103" s="205">
        <f t="shared" si="69"/>
        <v>90084000</v>
      </c>
      <c r="Q103" s="205">
        <f t="shared" si="70"/>
        <v>45041379</v>
      </c>
      <c r="R103" s="205">
        <f t="shared" si="62"/>
        <v>46865554.8495</v>
      </c>
      <c r="S103" s="205">
        <f t="shared" si="74"/>
        <v>-1823554.8495000005</v>
      </c>
      <c r="T103" s="205">
        <f t="shared" si="71"/>
        <v>45041379</v>
      </c>
      <c r="U103" s="205">
        <f t="shared" si="64"/>
        <v>46865554.8495</v>
      </c>
      <c r="V103" s="205">
        <f t="shared" si="72"/>
        <v>-1823554.8495000005</v>
      </c>
      <c r="W103" s="205">
        <f t="shared" si="73"/>
        <v>-3647109.699000001</v>
      </c>
      <c r="Y103" s="207"/>
      <c r="AA103" s="207"/>
      <c r="AB103" s="208"/>
      <c r="AC103" s="208"/>
      <c r="AD103" s="208"/>
      <c r="AE103" s="208"/>
      <c r="AG103" s="207"/>
    </row>
    <row r="104" spans="2:33" s="185" customFormat="1" ht="15.75" x14ac:dyDescent="0.25">
      <c r="B104" s="256" t="s">
        <v>471</v>
      </c>
      <c r="C104" s="258">
        <v>90827</v>
      </c>
      <c r="D104" s="259">
        <v>25</v>
      </c>
      <c r="E104" s="240">
        <v>7409852.7000000002</v>
      </c>
      <c r="F104" s="181">
        <f t="shared" si="37"/>
        <v>4.5094998986956902E-2</v>
      </c>
      <c r="G104" s="240">
        <v>7744000</v>
      </c>
      <c r="H104" s="182">
        <v>7.0000000000000007E-2</v>
      </c>
      <c r="I104" s="183">
        <f t="shared" si="67"/>
        <v>8286080</v>
      </c>
      <c r="J104" s="182">
        <v>0.1</v>
      </c>
      <c r="K104" s="183">
        <f t="shared" si="68"/>
        <v>8518400</v>
      </c>
      <c r="L104" s="195">
        <v>27</v>
      </c>
      <c r="M104" s="236">
        <v>200618400</v>
      </c>
      <c r="N104" s="237">
        <v>25</v>
      </c>
      <c r="O104" s="236">
        <v>185630400</v>
      </c>
      <c r="P104" s="194">
        <f t="shared" si="69"/>
        <v>386248800</v>
      </c>
      <c r="Q104" s="194">
        <f t="shared" si="70"/>
        <v>191961879.24970043</v>
      </c>
      <c r="R104" s="194">
        <f t="shared" si="62"/>
        <v>199736335.35931331</v>
      </c>
      <c r="S104" s="194">
        <f t="shared" si="74"/>
        <v>882064.64068669081</v>
      </c>
      <c r="T104" s="194">
        <f t="shared" si="71"/>
        <v>177620599.25646695</v>
      </c>
      <c r="U104" s="194">
        <f t="shared" si="64"/>
        <v>184814233.52635387</v>
      </c>
      <c r="V104" s="194">
        <f t="shared" si="72"/>
        <v>816166.47364613414</v>
      </c>
      <c r="W104" s="194">
        <f t="shared" si="73"/>
        <v>1698231.1143328249</v>
      </c>
      <c r="Y104" s="186"/>
      <c r="AA104" s="186"/>
      <c r="AB104" s="187"/>
      <c r="AC104" s="187"/>
      <c r="AD104" s="187"/>
      <c r="AE104" s="187"/>
      <c r="AG104" s="186"/>
    </row>
    <row r="105" spans="2:33" s="185" customFormat="1" ht="15.75" x14ac:dyDescent="0.25">
      <c r="B105" s="256" t="s">
        <v>472</v>
      </c>
      <c r="C105" s="258">
        <v>101521</v>
      </c>
      <c r="D105" s="259">
        <v>50</v>
      </c>
      <c r="E105" s="240">
        <v>9018719</v>
      </c>
      <c r="F105" s="181">
        <f t="shared" si="37"/>
        <v>4.5048637173416672E-2</v>
      </c>
      <c r="G105" s="240">
        <v>9425000</v>
      </c>
      <c r="H105" s="182">
        <v>7.0000000000000007E-2</v>
      </c>
      <c r="I105" s="183">
        <f t="shared" si="67"/>
        <v>10084750</v>
      </c>
      <c r="J105" s="182">
        <v>0.1</v>
      </c>
      <c r="K105" s="183">
        <f t="shared" si="68"/>
        <v>10367500</v>
      </c>
      <c r="L105" s="195">
        <v>83</v>
      </c>
      <c r="M105" s="236">
        <v>748425000</v>
      </c>
      <c r="N105" s="237">
        <v>75</v>
      </c>
      <c r="O105" s="236">
        <v>682737500</v>
      </c>
      <c r="P105" s="194">
        <f t="shared" si="69"/>
        <v>1431162500</v>
      </c>
      <c r="Q105" s="194">
        <f t="shared" si="70"/>
        <v>716162840.06100798</v>
      </c>
      <c r="R105" s="194">
        <f t="shared" si="62"/>
        <v>745167435.08347881</v>
      </c>
      <c r="S105" s="194">
        <f t="shared" si="74"/>
        <v>3257564.9165211916</v>
      </c>
      <c r="T105" s="194">
        <f t="shared" si="71"/>
        <v>653306913.87400532</v>
      </c>
      <c r="U105" s="194">
        <f t="shared" si="64"/>
        <v>679765843.88590252</v>
      </c>
      <c r="V105" s="194">
        <f t="shared" si="72"/>
        <v>2971656.114097476</v>
      </c>
      <c r="W105" s="194">
        <f t="shared" si="73"/>
        <v>6229221.0306186676</v>
      </c>
      <c r="Y105" s="186"/>
      <c r="AA105" s="186"/>
      <c r="AB105" s="187"/>
      <c r="AC105" s="187"/>
      <c r="AD105" s="187"/>
      <c r="AE105" s="187"/>
      <c r="AG105" s="186"/>
    </row>
    <row r="106" spans="2:33" s="185" customFormat="1" ht="15.75" x14ac:dyDescent="0.25">
      <c r="B106" s="256" t="s">
        <v>473</v>
      </c>
      <c r="C106" s="258">
        <v>102049</v>
      </c>
      <c r="D106" s="259">
        <v>48</v>
      </c>
      <c r="E106" s="240">
        <v>8371429</v>
      </c>
      <c r="F106" s="181">
        <f t="shared" si="37"/>
        <v>4.5102335574965791E-2</v>
      </c>
      <c r="G106" s="240">
        <v>8749000</v>
      </c>
      <c r="H106" s="182">
        <v>7.0000000000000007E-2</v>
      </c>
      <c r="I106" s="183">
        <f t="shared" si="67"/>
        <v>9361430</v>
      </c>
      <c r="J106" s="182">
        <v>0.1</v>
      </c>
      <c r="K106" s="183">
        <f t="shared" si="68"/>
        <v>9623900</v>
      </c>
      <c r="L106" s="195">
        <v>27</v>
      </c>
      <c r="M106" s="236">
        <v>203414250</v>
      </c>
      <c r="N106" s="237">
        <v>33</v>
      </c>
      <c r="O106" s="236">
        <v>245409450</v>
      </c>
      <c r="P106" s="194">
        <f t="shared" si="69"/>
        <v>448823700</v>
      </c>
      <c r="Q106" s="194">
        <f t="shared" si="70"/>
        <v>194635724.25</v>
      </c>
      <c r="R106" s="194">
        <f t="shared" si="62"/>
        <v>202518471.08212501</v>
      </c>
      <c r="S106" s="194">
        <f t="shared" si="74"/>
        <v>895778.91787499189</v>
      </c>
      <c r="T106" s="194">
        <f t="shared" si="71"/>
        <v>234818583.44999999</v>
      </c>
      <c r="U106" s="194">
        <f t="shared" si="64"/>
        <v>244328736.079725</v>
      </c>
      <c r="V106" s="194">
        <f t="shared" si="72"/>
        <v>1080713.9202750027</v>
      </c>
      <c r="W106" s="194">
        <f t="shared" si="73"/>
        <v>1976492.8381499946</v>
      </c>
      <c r="Y106" s="186"/>
      <c r="AA106" s="186"/>
      <c r="AB106" s="187"/>
      <c r="AC106" s="187"/>
      <c r="AD106" s="187"/>
      <c r="AE106" s="187"/>
      <c r="AG106" s="186"/>
    </row>
    <row r="107" spans="2:33" s="185" customFormat="1" ht="15.75" x14ac:dyDescent="0.25">
      <c r="B107" s="256" t="s">
        <v>513</v>
      </c>
      <c r="C107" s="258">
        <v>103307</v>
      </c>
      <c r="D107" s="259">
        <v>45</v>
      </c>
      <c r="E107" s="240">
        <v>7936946</v>
      </c>
      <c r="F107" s="181">
        <f t="shared" si="37"/>
        <v>4.5112313980717467E-2</v>
      </c>
      <c r="G107" s="240">
        <v>8295000</v>
      </c>
      <c r="H107" s="182">
        <v>7.0000000000000007E-2</v>
      </c>
      <c r="I107" s="183">
        <f t="shared" si="67"/>
        <v>8875650</v>
      </c>
      <c r="J107" s="182">
        <v>0.1</v>
      </c>
      <c r="K107" s="183">
        <f t="shared" si="68"/>
        <v>9124500</v>
      </c>
      <c r="L107" s="195">
        <v>17</v>
      </c>
      <c r="M107" s="236">
        <v>142037171</v>
      </c>
      <c r="N107" s="237">
        <v>34</v>
      </c>
      <c r="O107" s="236">
        <v>278297250</v>
      </c>
      <c r="P107" s="194">
        <f t="shared" si="69"/>
        <v>420334421</v>
      </c>
      <c r="Q107" s="194">
        <f t="shared" si="70"/>
        <v>135906130.9487361</v>
      </c>
      <c r="R107" s="194">
        <f t="shared" si="62"/>
        <v>141410329.25215992</v>
      </c>
      <c r="S107" s="194">
        <f t="shared" si="74"/>
        <v>626841.74784007668</v>
      </c>
      <c r="T107" s="194">
        <f t="shared" si="71"/>
        <v>266284538.30000001</v>
      </c>
      <c r="U107" s="194">
        <f t="shared" si="64"/>
        <v>277069062.10115004</v>
      </c>
      <c r="V107" s="194">
        <f t="shared" si="72"/>
        <v>1228187.8988499641</v>
      </c>
      <c r="W107" s="194">
        <f t="shared" si="73"/>
        <v>1855029.6466900408</v>
      </c>
      <c r="Y107" s="186"/>
      <c r="AA107" s="186"/>
      <c r="AB107" s="187"/>
      <c r="AC107" s="187"/>
      <c r="AD107" s="187"/>
      <c r="AE107" s="187"/>
      <c r="AG107" s="186"/>
    </row>
    <row r="108" spans="2:33" s="185" customFormat="1" ht="15.75" x14ac:dyDescent="0.25">
      <c r="B108" s="256" t="s">
        <v>514</v>
      </c>
      <c r="C108" s="258">
        <v>1048</v>
      </c>
      <c r="D108" s="259">
        <v>47</v>
      </c>
      <c r="E108" s="240">
        <v>6800000</v>
      </c>
      <c r="F108" s="181">
        <f t="shared" si="37"/>
        <v>4.4999999999999929E-2</v>
      </c>
      <c r="G108" s="240">
        <v>7106000</v>
      </c>
      <c r="H108" s="182">
        <v>7.0000000000000007E-2</v>
      </c>
      <c r="I108" s="183">
        <f t="shared" si="67"/>
        <v>7603420</v>
      </c>
      <c r="J108" s="182">
        <v>0.1</v>
      </c>
      <c r="K108" s="183">
        <f t="shared" si="68"/>
        <v>7816600</v>
      </c>
      <c r="L108" s="195">
        <v>68</v>
      </c>
      <c r="M108" s="236">
        <v>483208000</v>
      </c>
      <c r="N108" s="237">
        <v>23</v>
      </c>
      <c r="O108" s="236">
        <v>163438000</v>
      </c>
      <c r="P108" s="194">
        <f t="shared" si="69"/>
        <v>646646000</v>
      </c>
      <c r="Q108" s="194">
        <f t="shared" si="70"/>
        <v>462400000.00000006</v>
      </c>
      <c r="R108" s="194">
        <f t="shared" si="62"/>
        <v>481127200.00000006</v>
      </c>
      <c r="S108" s="194">
        <f t="shared" si="74"/>
        <v>2080799.9999999404</v>
      </c>
      <c r="T108" s="194">
        <f t="shared" si="71"/>
        <v>156400000</v>
      </c>
      <c r="U108" s="194">
        <f t="shared" si="64"/>
        <v>162734200</v>
      </c>
      <c r="V108" s="194">
        <f t="shared" si="72"/>
        <v>703800</v>
      </c>
      <c r="W108" s="194">
        <f t="shared" si="73"/>
        <v>2784599.9999999404</v>
      </c>
      <c r="Y108" s="186"/>
      <c r="AA108" s="186"/>
      <c r="AB108" s="187"/>
      <c r="AC108" s="187"/>
      <c r="AD108" s="187"/>
      <c r="AE108" s="187"/>
      <c r="AG108" s="186"/>
    </row>
    <row r="109" spans="2:33" s="206" customFormat="1" ht="15.75" x14ac:dyDescent="0.25">
      <c r="B109" s="220" t="s">
        <v>593</v>
      </c>
      <c r="C109" s="232"/>
      <c r="D109" s="233">
        <v>44</v>
      </c>
      <c r="E109" s="200">
        <v>1900</v>
      </c>
      <c r="F109" s="244">
        <f t="shared" si="37"/>
        <v>-5.2631578947368474E-2</v>
      </c>
      <c r="G109" s="200">
        <v>1800</v>
      </c>
      <c r="H109" s="202">
        <v>7.0000000000000007E-2</v>
      </c>
      <c r="I109" s="203">
        <f t="shared" si="67"/>
        <v>1926</v>
      </c>
      <c r="J109" s="202">
        <v>0.1</v>
      </c>
      <c r="K109" s="203">
        <f t="shared" si="68"/>
        <v>1980</v>
      </c>
      <c r="L109" s="531">
        <v>60</v>
      </c>
      <c r="M109" s="533">
        <v>312887700</v>
      </c>
      <c r="N109" s="535">
        <v>64</v>
      </c>
      <c r="O109" s="533">
        <v>333851700</v>
      </c>
      <c r="P109" s="529">
        <f>+M109+O109</f>
        <v>646739400</v>
      </c>
      <c r="Q109" s="529">
        <f>M109/(1+F110)</f>
        <v>299382246.60000002</v>
      </c>
      <c r="R109" s="529">
        <f>($Q109*$R$10)+$Q109</f>
        <v>311507227.5873</v>
      </c>
      <c r="S109" s="529">
        <f>M109-R109</f>
        <v>1380472.4126999974</v>
      </c>
      <c r="T109" s="529">
        <f>O109/(1+F110)</f>
        <v>319441358.60000002</v>
      </c>
      <c r="U109" s="529">
        <f>($T109*$U$10)+$T109</f>
        <v>332378733.62330002</v>
      </c>
      <c r="V109" s="529">
        <f>O109-U109</f>
        <v>1472966.3766999841</v>
      </c>
      <c r="W109" s="529">
        <f>S109+V109</f>
        <v>2853438.7893999815</v>
      </c>
      <c r="Y109" s="207"/>
      <c r="AA109" s="207"/>
      <c r="AB109" s="208"/>
      <c r="AC109" s="208"/>
      <c r="AD109" s="208"/>
      <c r="AE109" s="208"/>
      <c r="AG109" s="207"/>
    </row>
    <row r="110" spans="2:33" s="185" customFormat="1" ht="16.5" thickBot="1" x14ac:dyDescent="0.3">
      <c r="B110" s="256" t="s">
        <v>515</v>
      </c>
      <c r="C110" s="258">
        <v>90827</v>
      </c>
      <c r="D110" s="259">
        <v>44</v>
      </c>
      <c r="E110" s="240">
        <v>5014778</v>
      </c>
      <c r="F110" s="181">
        <f t="shared" si="37"/>
        <v>4.51110697223287E-2</v>
      </c>
      <c r="G110" s="240">
        <v>5241000</v>
      </c>
      <c r="H110" s="182">
        <v>7.0000000000000007E-2</v>
      </c>
      <c r="I110" s="183">
        <f t="shared" si="67"/>
        <v>5607870</v>
      </c>
      <c r="J110" s="182">
        <v>0.1</v>
      </c>
      <c r="K110" s="183">
        <f t="shared" si="68"/>
        <v>5765100</v>
      </c>
      <c r="L110" s="532"/>
      <c r="M110" s="534"/>
      <c r="N110" s="536"/>
      <c r="O110" s="534"/>
      <c r="P110" s="530"/>
      <c r="Q110" s="530"/>
      <c r="R110" s="530"/>
      <c r="S110" s="530"/>
      <c r="T110" s="530"/>
      <c r="U110" s="530"/>
      <c r="V110" s="530"/>
      <c r="W110" s="530"/>
      <c r="Y110" s="186"/>
      <c r="AA110" s="186"/>
      <c r="AB110" s="187"/>
      <c r="AC110" s="187"/>
      <c r="AD110" s="187"/>
      <c r="AE110" s="187"/>
      <c r="AG110" s="186"/>
    </row>
    <row r="111" spans="2:33" ht="21" customHeight="1" x14ac:dyDescent="0.35">
      <c r="B111" s="77" t="s">
        <v>551</v>
      </c>
      <c r="C111" s="80"/>
      <c r="D111" s="108"/>
      <c r="E111" s="78"/>
      <c r="F111" s="79" t="s">
        <v>548</v>
      </c>
      <c r="G111" s="78">
        <f>SUM(G62:G110)</f>
        <v>453344800</v>
      </c>
      <c r="H111" s="80"/>
      <c r="I111" s="80"/>
      <c r="J111" s="80"/>
      <c r="K111" s="80"/>
      <c r="L111" s="81">
        <f>SUM(L62:L109)</f>
        <v>1192</v>
      </c>
      <c r="M111" s="82">
        <f>SUM(M62:M109)</f>
        <v>10082028261</v>
      </c>
      <c r="N111" s="81">
        <f>SUM(N62:N109)</f>
        <v>1321</v>
      </c>
      <c r="O111" s="82">
        <f t="shared" ref="O111:W111" si="75">SUM(O62:O110)</f>
        <v>11470170824</v>
      </c>
      <c r="P111" s="82">
        <f t="shared" si="75"/>
        <v>21552199085</v>
      </c>
      <c r="Q111" s="82">
        <f t="shared" si="75"/>
        <v>9643047398.0242538</v>
      </c>
      <c r="R111" s="82">
        <f t="shared" si="75"/>
        <v>10033590817.644232</v>
      </c>
      <c r="S111" s="82">
        <f t="shared" si="75"/>
        <v>48437443.355764449</v>
      </c>
      <c r="T111" s="82">
        <f t="shared" si="75"/>
        <v>10966534860.85499</v>
      </c>
      <c r="U111" s="82">
        <f t="shared" si="75"/>
        <v>11410679522.71962</v>
      </c>
      <c r="V111" s="82">
        <f t="shared" si="75"/>
        <v>59491301.280382976</v>
      </c>
      <c r="W111" s="82">
        <f t="shared" si="75"/>
        <v>107928744.63614742</v>
      </c>
      <c r="AB111" s="121"/>
      <c r="AD111" s="121"/>
      <c r="AE111" s="121"/>
      <c r="AG111" s="122"/>
    </row>
    <row r="112" spans="2:33" ht="22.5" customHeight="1" thickBot="1" x14ac:dyDescent="0.3">
      <c r="B112" s="94" t="s">
        <v>565</v>
      </c>
      <c r="C112" s="177"/>
      <c r="D112" s="110"/>
      <c r="E112" s="84"/>
      <c r="F112" s="85"/>
      <c r="G112" s="86">
        <f>+SUMPRODUCT(G62:G110,F62:F110)/G111</f>
        <v>4.2072877281297834E-2</v>
      </c>
      <c r="H112" s="87"/>
      <c r="I112" s="87"/>
      <c r="J112" s="87"/>
      <c r="K112" s="87"/>
      <c r="L112" s="88"/>
      <c r="M112" s="89"/>
      <c r="N112" s="88"/>
      <c r="O112" s="90"/>
      <c r="P112" s="86"/>
      <c r="Q112" s="86"/>
      <c r="R112" s="86"/>
      <c r="S112" s="86"/>
      <c r="T112" s="86"/>
      <c r="U112" s="86"/>
      <c r="V112" s="86"/>
      <c r="W112" s="86"/>
      <c r="AB112" s="121"/>
      <c r="AD112" s="121"/>
      <c r="AE112" s="121"/>
      <c r="AG112" s="122"/>
    </row>
    <row r="113" spans="2:33" ht="23.25" customHeight="1" x14ac:dyDescent="0.35">
      <c r="B113" s="77" t="s">
        <v>552</v>
      </c>
      <c r="C113" s="80"/>
      <c r="D113" s="108"/>
      <c r="E113" s="95"/>
      <c r="F113" s="95"/>
      <c r="G113" s="96"/>
      <c r="H113" s="97"/>
      <c r="I113" s="96"/>
      <c r="J113" s="96"/>
      <c r="K113" s="96"/>
      <c r="L113" s="81">
        <f>+L111+L58</f>
        <v>8245</v>
      </c>
      <c r="M113" s="82">
        <f>M111+M58</f>
        <v>61917133961</v>
      </c>
      <c r="N113" s="81">
        <f>+N111+N58</f>
        <v>8426</v>
      </c>
      <c r="O113" s="82">
        <f t="shared" ref="O113:W113" si="76">O111+O58</f>
        <v>63821024424</v>
      </c>
      <c r="P113" s="82">
        <f t="shared" si="76"/>
        <v>125738158385</v>
      </c>
      <c r="Q113" s="82">
        <f t="shared" si="76"/>
        <v>58766274692.070831</v>
      </c>
      <c r="R113" s="82">
        <f t="shared" si="76"/>
        <v>61146308817.099701</v>
      </c>
      <c r="S113" s="82">
        <f t="shared" si="76"/>
        <v>770825143.90030336</v>
      </c>
      <c r="T113" s="82">
        <f t="shared" si="76"/>
        <v>60577027631.69809</v>
      </c>
      <c r="U113" s="82">
        <f t="shared" si="76"/>
        <v>63030397250.781868</v>
      </c>
      <c r="V113" s="82">
        <f t="shared" si="76"/>
        <v>790627173.21812892</v>
      </c>
      <c r="W113" s="82">
        <f t="shared" si="76"/>
        <v>1561452317.1184325</v>
      </c>
      <c r="AB113" s="121"/>
      <c r="AD113" s="121"/>
      <c r="AE113" s="121"/>
      <c r="AG113" s="122"/>
    </row>
    <row r="114" spans="2:33" ht="21.75" thickBot="1" x14ac:dyDescent="0.4">
      <c r="B114" s="83" t="s">
        <v>553</v>
      </c>
      <c r="C114" s="87"/>
      <c r="D114" s="109"/>
      <c r="E114" s="98"/>
      <c r="F114" s="98"/>
      <c r="G114" s="169">
        <f>((+SUMPRODUCT(G13:G57,F13:F57))+(SUMPRODUCT(G62:G110,F62:F110)))/(G58+G111)</f>
        <v>4.7404127068179723E-2</v>
      </c>
      <c r="H114" s="100"/>
      <c r="I114" s="99"/>
      <c r="J114" s="99"/>
      <c r="K114" s="99"/>
      <c r="L114" s="101"/>
      <c r="M114" s="102"/>
      <c r="N114" s="101"/>
      <c r="O114" s="103"/>
      <c r="P114" s="86"/>
      <c r="Q114" s="104"/>
      <c r="R114" s="105"/>
      <c r="S114" s="105"/>
      <c r="T114" s="105"/>
      <c r="U114" s="105"/>
      <c r="V114" s="105"/>
      <c r="W114" s="106"/>
      <c r="AB114" s="121"/>
      <c r="AD114" s="121"/>
      <c r="AE114" s="121"/>
      <c r="AG114" s="122"/>
    </row>
    <row r="115" spans="2:33" x14ac:dyDescent="0.2">
      <c r="G115" s="157"/>
      <c r="AG115" s="122"/>
    </row>
    <row r="116" spans="2:33" ht="12" x14ac:dyDescent="0.2">
      <c r="B116" s="170" t="s">
        <v>592</v>
      </c>
      <c r="C116" s="170"/>
      <c r="G116" s="141"/>
      <c r="Q116" s="121"/>
      <c r="AG116" s="122"/>
    </row>
    <row r="117" spans="2:33" ht="12" x14ac:dyDescent="0.2">
      <c r="B117" s="171" t="s">
        <v>626</v>
      </c>
      <c r="C117" s="171"/>
      <c r="E117" s="116"/>
      <c r="F117" s="117"/>
      <c r="G117" s="141"/>
    </row>
    <row r="118" spans="2:33" x14ac:dyDescent="0.2">
      <c r="E118" s="116"/>
      <c r="G118" s="141"/>
    </row>
    <row r="119" spans="2:33" ht="16.5" thickBot="1" x14ac:dyDescent="0.25">
      <c r="E119" s="116"/>
      <c r="G119" s="163"/>
    </row>
    <row r="120" spans="2:33" x14ac:dyDescent="0.2">
      <c r="E120" s="116"/>
      <c r="G120" s="141"/>
    </row>
    <row r="121" spans="2:33" x14ac:dyDescent="0.2">
      <c r="E121" s="116"/>
      <c r="G121" s="141"/>
    </row>
    <row r="122" spans="2:33" x14ac:dyDescent="0.2">
      <c r="E122" s="116"/>
      <c r="G122" s="141"/>
    </row>
    <row r="123" spans="2:33" x14ac:dyDescent="0.2">
      <c r="E123" s="116"/>
      <c r="G123" s="141"/>
    </row>
    <row r="124" spans="2:33" x14ac:dyDescent="0.2">
      <c r="E124" s="116"/>
      <c r="G124" s="141"/>
    </row>
    <row r="125" spans="2:33" x14ac:dyDescent="0.2">
      <c r="E125" s="116"/>
      <c r="G125" s="141"/>
    </row>
    <row r="126" spans="2:33" x14ac:dyDescent="0.2">
      <c r="E126" s="116"/>
    </row>
    <row r="127" spans="2:33" x14ac:dyDescent="0.2">
      <c r="E127" s="116"/>
    </row>
  </sheetData>
  <mergeCells count="233">
    <mergeCell ref="S109:S110"/>
    <mergeCell ref="T109:T110"/>
    <mergeCell ref="U109:U110"/>
    <mergeCell ref="V109:V110"/>
    <mergeCell ref="W109:W110"/>
    <mergeCell ref="U92:U94"/>
    <mergeCell ref="V92:V94"/>
    <mergeCell ref="W92:W94"/>
    <mergeCell ref="L109:L110"/>
    <mergeCell ref="M109:M110"/>
    <mergeCell ref="N109:N110"/>
    <mergeCell ref="O109:O110"/>
    <mergeCell ref="P109:P110"/>
    <mergeCell ref="Q109:Q110"/>
    <mergeCell ref="R109:R110"/>
    <mergeCell ref="L92:L94"/>
    <mergeCell ref="M92:M94"/>
    <mergeCell ref="N92:N94"/>
    <mergeCell ref="O92:O94"/>
    <mergeCell ref="P92:P94"/>
    <mergeCell ref="Q92:Q94"/>
    <mergeCell ref="R92:R94"/>
    <mergeCell ref="S92:S94"/>
    <mergeCell ref="T92:T94"/>
    <mergeCell ref="T56:T57"/>
    <mergeCell ref="U56:U57"/>
    <mergeCell ref="V56:V57"/>
    <mergeCell ref="W56:W57"/>
    <mergeCell ref="D87:D89"/>
    <mergeCell ref="L87:L89"/>
    <mergeCell ref="M87:M89"/>
    <mergeCell ref="N87:N89"/>
    <mergeCell ref="O87:O89"/>
    <mergeCell ref="P87:P89"/>
    <mergeCell ref="W87:W89"/>
    <mergeCell ref="Q87:Q89"/>
    <mergeCell ref="R87:R89"/>
    <mergeCell ref="S87:S89"/>
    <mergeCell ref="T87:T89"/>
    <mergeCell ref="U87:U89"/>
    <mergeCell ref="V87:V89"/>
    <mergeCell ref="D56:D57"/>
    <mergeCell ref="L56:L57"/>
    <mergeCell ref="M56:M57"/>
    <mergeCell ref="N56:N57"/>
    <mergeCell ref="O56:O57"/>
    <mergeCell ref="P56:P57"/>
    <mergeCell ref="Q56:Q57"/>
    <mergeCell ref="R56:R57"/>
    <mergeCell ref="S56:S57"/>
    <mergeCell ref="T50:T51"/>
    <mergeCell ref="U50:U51"/>
    <mergeCell ref="V50:V51"/>
    <mergeCell ref="W50:W51"/>
    <mergeCell ref="D53:D54"/>
    <mergeCell ref="L53:L54"/>
    <mergeCell ref="M53:M54"/>
    <mergeCell ref="N53:N54"/>
    <mergeCell ref="O53:O54"/>
    <mergeCell ref="P53:P54"/>
    <mergeCell ref="W53:W54"/>
    <mergeCell ref="Q53:Q54"/>
    <mergeCell ref="R53:R54"/>
    <mergeCell ref="S53:S54"/>
    <mergeCell ref="T53:T54"/>
    <mergeCell ref="U53:U54"/>
    <mergeCell ref="V53:V54"/>
    <mergeCell ref="D50:D51"/>
    <mergeCell ref="L50:L51"/>
    <mergeCell ref="M50:M51"/>
    <mergeCell ref="N50:N51"/>
    <mergeCell ref="O50:O51"/>
    <mergeCell ref="P50:P51"/>
    <mergeCell ref="Q50:Q51"/>
    <mergeCell ref="R50:R51"/>
    <mergeCell ref="S50:S51"/>
    <mergeCell ref="T40:T41"/>
    <mergeCell ref="U40:U41"/>
    <mergeCell ref="V40:V41"/>
    <mergeCell ref="W40:W41"/>
    <mergeCell ref="D42:D44"/>
    <mergeCell ref="L42:L44"/>
    <mergeCell ref="M42:M44"/>
    <mergeCell ref="N42:N44"/>
    <mergeCell ref="O42:O44"/>
    <mergeCell ref="P42:P44"/>
    <mergeCell ref="W42:W44"/>
    <mergeCell ref="Q42:Q44"/>
    <mergeCell ref="R42:R44"/>
    <mergeCell ref="S42:S44"/>
    <mergeCell ref="T42:T44"/>
    <mergeCell ref="U42:U44"/>
    <mergeCell ref="V42:V44"/>
    <mergeCell ref="D40:D41"/>
    <mergeCell ref="L40:L41"/>
    <mergeCell ref="M40:M41"/>
    <mergeCell ref="N40:N41"/>
    <mergeCell ref="O40:O41"/>
    <mergeCell ref="P40:P41"/>
    <mergeCell ref="Q40:Q41"/>
    <mergeCell ref="R40:R41"/>
    <mergeCell ref="S40:S41"/>
    <mergeCell ref="T34:T36"/>
    <mergeCell ref="U34:U36"/>
    <mergeCell ref="V34:V36"/>
    <mergeCell ref="W34:W36"/>
    <mergeCell ref="D37:D38"/>
    <mergeCell ref="L37:L38"/>
    <mergeCell ref="M37:M38"/>
    <mergeCell ref="N37:N38"/>
    <mergeCell ref="O37:O38"/>
    <mergeCell ref="P37:P38"/>
    <mergeCell ref="W37:W38"/>
    <mergeCell ref="Q37:Q38"/>
    <mergeCell ref="R37:R38"/>
    <mergeCell ref="S37:S38"/>
    <mergeCell ref="T37:T38"/>
    <mergeCell ref="U37:U38"/>
    <mergeCell ref="V37:V38"/>
    <mergeCell ref="D34:D36"/>
    <mergeCell ref="L34:L36"/>
    <mergeCell ref="M34:M36"/>
    <mergeCell ref="N34:N36"/>
    <mergeCell ref="O34:O36"/>
    <mergeCell ref="P34:P36"/>
    <mergeCell ref="Q34:Q36"/>
    <mergeCell ref="R34:R36"/>
    <mergeCell ref="S34:S36"/>
    <mergeCell ref="T28:T30"/>
    <mergeCell ref="U28:U30"/>
    <mergeCell ref="V28:V30"/>
    <mergeCell ref="W28:W30"/>
    <mergeCell ref="D31:D33"/>
    <mergeCell ref="L31:L33"/>
    <mergeCell ref="M31:M33"/>
    <mergeCell ref="N31:N33"/>
    <mergeCell ref="O31:O33"/>
    <mergeCell ref="P31:P33"/>
    <mergeCell ref="W31:W33"/>
    <mergeCell ref="Q31:Q33"/>
    <mergeCell ref="R31:R33"/>
    <mergeCell ref="S31:S33"/>
    <mergeCell ref="T31:T33"/>
    <mergeCell ref="U31:U33"/>
    <mergeCell ref="V31:V33"/>
    <mergeCell ref="D28:D30"/>
    <mergeCell ref="L28:L30"/>
    <mergeCell ref="M28:M30"/>
    <mergeCell ref="N28:N30"/>
    <mergeCell ref="O28:O30"/>
    <mergeCell ref="P28:P30"/>
    <mergeCell ref="Q28:Q30"/>
    <mergeCell ref="R28:R30"/>
    <mergeCell ref="S28:S30"/>
    <mergeCell ref="T24:T25"/>
    <mergeCell ref="U24:U25"/>
    <mergeCell ref="V24:V25"/>
    <mergeCell ref="W24:W25"/>
    <mergeCell ref="D26:D27"/>
    <mergeCell ref="L26:L27"/>
    <mergeCell ref="M26:M27"/>
    <mergeCell ref="N26:N27"/>
    <mergeCell ref="O26:O27"/>
    <mergeCell ref="P26:P27"/>
    <mergeCell ref="W26:W27"/>
    <mergeCell ref="Q26:Q27"/>
    <mergeCell ref="R26:R27"/>
    <mergeCell ref="S26:S27"/>
    <mergeCell ref="T26:T27"/>
    <mergeCell ref="U26:U27"/>
    <mergeCell ref="V26:V27"/>
    <mergeCell ref="D24:D25"/>
    <mergeCell ref="L24:L25"/>
    <mergeCell ref="M24:M25"/>
    <mergeCell ref="N24:N25"/>
    <mergeCell ref="O24:O25"/>
    <mergeCell ref="P24:P25"/>
    <mergeCell ref="Q24:Q25"/>
    <mergeCell ref="R24:R25"/>
    <mergeCell ref="S24:S25"/>
    <mergeCell ref="V17:V18"/>
    <mergeCell ref="W17:W18"/>
    <mergeCell ref="D19:D20"/>
    <mergeCell ref="L19:L20"/>
    <mergeCell ref="M19:M20"/>
    <mergeCell ref="N19:N20"/>
    <mergeCell ref="O19:O20"/>
    <mergeCell ref="P19:P20"/>
    <mergeCell ref="W19:W20"/>
    <mergeCell ref="Q19:Q20"/>
    <mergeCell ref="R19:R20"/>
    <mergeCell ref="S19:S20"/>
    <mergeCell ref="T19:T20"/>
    <mergeCell ref="U19:U20"/>
    <mergeCell ref="V19:V20"/>
    <mergeCell ref="D15:D16"/>
    <mergeCell ref="L15:L16"/>
    <mergeCell ref="M15:M16"/>
    <mergeCell ref="N15:N16"/>
    <mergeCell ref="O15:O16"/>
    <mergeCell ref="P15:P16"/>
    <mergeCell ref="W15:W16"/>
    <mergeCell ref="D17:D18"/>
    <mergeCell ref="L17:L18"/>
    <mergeCell ref="M17:M18"/>
    <mergeCell ref="N17:N18"/>
    <mergeCell ref="O17:O18"/>
    <mergeCell ref="P17:P18"/>
    <mergeCell ref="Q17:Q18"/>
    <mergeCell ref="R17:R18"/>
    <mergeCell ref="S17:S18"/>
    <mergeCell ref="Q15:Q16"/>
    <mergeCell ref="R15:R16"/>
    <mergeCell ref="S15:S16"/>
    <mergeCell ref="T15:T16"/>
    <mergeCell ref="U15:U16"/>
    <mergeCell ref="V15:V16"/>
    <mergeCell ref="T17:T18"/>
    <mergeCell ref="U17:U18"/>
    <mergeCell ref="B3:W3"/>
    <mergeCell ref="B4:W4"/>
    <mergeCell ref="D13:D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hyperlinks>
    <hyperlink ref="B1" location="Contenido!B21" display="Volver al menú" xr:uid="{00000000-0004-0000-05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414"/>
    <col min="2" max="2" width="58.42578125" style="414" bestFit="1" customWidth="1"/>
    <col min="3" max="3" width="12.7109375" style="414" customWidth="1"/>
    <col min="4" max="4" width="11.42578125" style="414"/>
    <col min="5" max="5" width="10.42578125" style="414" bestFit="1" customWidth="1"/>
    <col min="6" max="6" width="11.42578125" style="414"/>
    <col min="7" max="7" width="13.28515625" style="414" bestFit="1" customWidth="1"/>
    <col min="8" max="16384" width="11.42578125" style="414"/>
  </cols>
  <sheetData>
    <row r="1" spans="1:8" ht="15" x14ac:dyDescent="0.25">
      <c r="A1" s="295" t="s">
        <v>494</v>
      </c>
      <c r="B1" s="413"/>
      <c r="F1" s="415"/>
    </row>
    <row r="2" spans="1:8" x14ac:dyDescent="0.2">
      <c r="A2" s="413"/>
      <c r="B2" s="413"/>
      <c r="E2" s="416"/>
      <c r="F2" s="417"/>
    </row>
    <row r="3" spans="1:8" x14ac:dyDescent="0.2">
      <c r="A3" s="413"/>
      <c r="B3" s="413"/>
      <c r="F3" s="415"/>
    </row>
    <row r="4" spans="1:8" ht="26.25" x14ac:dyDescent="0.4">
      <c r="A4" s="413"/>
      <c r="B4" s="461" t="s">
        <v>493</v>
      </c>
      <c r="C4" s="461"/>
      <c r="D4" s="461"/>
      <c r="E4" s="461"/>
    </row>
    <row r="5" spans="1:8" ht="18.75" x14ac:dyDescent="0.3">
      <c r="A5" s="413"/>
      <c r="B5" s="462" t="s">
        <v>849</v>
      </c>
      <c r="C5" s="462"/>
      <c r="D5" s="462"/>
      <c r="E5" s="462"/>
    </row>
    <row r="6" spans="1:8" x14ac:dyDescent="0.2">
      <c r="A6" s="413"/>
      <c r="B6" s="418"/>
    </row>
    <row r="7" spans="1:8" s="419" customFormat="1" x14ac:dyDescent="0.2">
      <c r="B7" s="420" t="s">
        <v>475</v>
      </c>
      <c r="C7" s="420" t="s">
        <v>759</v>
      </c>
      <c r="D7" s="420" t="s">
        <v>806</v>
      </c>
      <c r="E7" s="420" t="s">
        <v>476</v>
      </c>
    </row>
    <row r="8" spans="1:8" s="419" customFormat="1" ht="17.100000000000001" customHeight="1" x14ac:dyDescent="0.2">
      <c r="B8" s="421" t="s">
        <v>477</v>
      </c>
      <c r="C8" s="422">
        <v>316000</v>
      </c>
      <c r="D8" s="423">
        <v>333000</v>
      </c>
      <c r="E8" s="424">
        <f>((D8/C8)-1)</f>
        <v>5.3797468354430444E-2</v>
      </c>
      <c r="F8" s="423"/>
      <c r="G8" s="423"/>
      <c r="H8" s="423"/>
    </row>
    <row r="9" spans="1:8" s="419" customFormat="1" ht="17.100000000000001" customHeight="1" x14ac:dyDescent="0.2">
      <c r="B9" s="425" t="s">
        <v>661</v>
      </c>
      <c r="C9" s="422">
        <v>131500</v>
      </c>
      <c r="D9" s="423">
        <v>139000</v>
      </c>
      <c r="E9" s="424">
        <f t="shared" ref="E9" si="0">((D9/C9)-1)</f>
        <v>5.7034220532319324E-2</v>
      </c>
      <c r="F9" s="423"/>
      <c r="G9" s="423"/>
      <c r="H9" s="423"/>
    </row>
    <row r="10" spans="1:8" s="419" customFormat="1" ht="17.100000000000001" customHeight="1" x14ac:dyDescent="0.2">
      <c r="B10" s="425" t="s">
        <v>662</v>
      </c>
      <c r="C10" s="422">
        <v>131500</v>
      </c>
      <c r="D10" s="423">
        <v>139000</v>
      </c>
      <c r="E10" s="424">
        <f t="shared" ref="E10:E29" si="1">((D10/C10)-1)</f>
        <v>5.7034220532319324E-2</v>
      </c>
      <c r="F10" s="423"/>
      <c r="G10" s="423"/>
      <c r="H10" s="423"/>
    </row>
    <row r="11" spans="1:8" s="419" customFormat="1" ht="17.100000000000001" customHeight="1" x14ac:dyDescent="0.2">
      <c r="B11" s="425" t="s">
        <v>665</v>
      </c>
      <c r="C11" s="422">
        <v>31600</v>
      </c>
      <c r="D11" s="423">
        <v>33000</v>
      </c>
      <c r="E11" s="424">
        <f t="shared" si="1"/>
        <v>4.4303797468354444E-2</v>
      </c>
      <c r="F11" s="423"/>
      <c r="G11" s="423"/>
      <c r="H11" s="423"/>
    </row>
    <row r="12" spans="1:8" s="419" customFormat="1" ht="17.100000000000001" customHeight="1" x14ac:dyDescent="0.2">
      <c r="B12" s="425" t="s">
        <v>666</v>
      </c>
      <c r="C12" s="422">
        <v>31600</v>
      </c>
      <c r="D12" s="423">
        <v>33000</v>
      </c>
      <c r="E12" s="426">
        <f t="shared" ref="E12" si="2">((D12/C12)-1)</f>
        <v>4.4303797468354444E-2</v>
      </c>
      <c r="F12" s="423"/>
      <c r="G12" s="423"/>
      <c r="H12" s="423"/>
    </row>
    <row r="13" spans="1:8" s="419" customFormat="1" ht="17.100000000000001" customHeight="1" x14ac:dyDescent="0.2">
      <c r="B13" s="425" t="s">
        <v>478</v>
      </c>
      <c r="C13" s="422">
        <v>50900</v>
      </c>
      <c r="D13" s="427">
        <v>54000</v>
      </c>
      <c r="E13" s="426">
        <f t="shared" si="1"/>
        <v>6.0903732809430178E-2</v>
      </c>
      <c r="F13" s="423"/>
      <c r="G13" s="423"/>
      <c r="H13" s="423"/>
    </row>
    <row r="14" spans="1:8" s="419" customFormat="1" ht="17.100000000000001" customHeight="1" x14ac:dyDescent="0.2">
      <c r="B14" s="425" t="s">
        <v>479</v>
      </c>
      <c r="C14" s="422">
        <v>55000</v>
      </c>
      <c r="D14" s="427">
        <v>58000</v>
      </c>
      <c r="E14" s="426">
        <f t="shared" si="1"/>
        <v>5.4545454545454453E-2</v>
      </c>
      <c r="F14" s="423"/>
      <c r="G14" s="423"/>
      <c r="H14" s="423"/>
    </row>
    <row r="15" spans="1:8" s="419" customFormat="1" ht="17.100000000000001" customHeight="1" x14ac:dyDescent="0.2">
      <c r="B15" s="421" t="s">
        <v>480</v>
      </c>
      <c r="C15" s="422">
        <v>27500</v>
      </c>
      <c r="D15" s="423">
        <v>29000</v>
      </c>
      <c r="E15" s="424">
        <f t="shared" si="1"/>
        <v>5.4545454545454453E-2</v>
      </c>
      <c r="F15" s="423"/>
      <c r="G15" s="423"/>
      <c r="H15" s="423"/>
    </row>
    <row r="16" spans="1:8" s="419" customFormat="1" ht="17.100000000000001" customHeight="1" x14ac:dyDescent="0.2">
      <c r="B16" s="421" t="s">
        <v>663</v>
      </c>
      <c r="C16" s="422">
        <v>729000</v>
      </c>
      <c r="D16" s="423">
        <v>769000</v>
      </c>
      <c r="E16" s="424">
        <f t="shared" ref="E16" si="3">((D16/C16)-1)</f>
        <v>5.4869684499314175E-2</v>
      </c>
      <c r="F16" s="423"/>
      <c r="G16" s="423"/>
      <c r="H16" s="423"/>
    </row>
    <row r="17" spans="2:8" s="419" customFormat="1" ht="17.100000000000001" customHeight="1" x14ac:dyDescent="0.2">
      <c r="B17" s="421" t="s">
        <v>664</v>
      </c>
      <c r="C17" s="422">
        <v>729000</v>
      </c>
      <c r="D17" s="423">
        <v>769000</v>
      </c>
      <c r="E17" s="424">
        <f t="shared" si="1"/>
        <v>5.4869684499314175E-2</v>
      </c>
      <c r="F17" s="423"/>
      <c r="G17" s="423"/>
      <c r="H17" s="423"/>
    </row>
    <row r="18" spans="2:8" s="419" customFormat="1" ht="17.100000000000001" customHeight="1" x14ac:dyDescent="0.2">
      <c r="B18" s="421" t="s">
        <v>481</v>
      </c>
      <c r="C18" s="422">
        <v>27500</v>
      </c>
      <c r="D18" s="423">
        <v>29000</v>
      </c>
      <c r="E18" s="424">
        <f t="shared" si="1"/>
        <v>5.4545454545454453E-2</v>
      </c>
      <c r="F18" s="423"/>
      <c r="G18" s="423"/>
      <c r="H18" s="423"/>
    </row>
    <row r="19" spans="2:8" s="419" customFormat="1" ht="17.100000000000001" customHeight="1" x14ac:dyDescent="0.2">
      <c r="B19" s="421" t="s">
        <v>482</v>
      </c>
      <c r="C19" s="422">
        <v>6800</v>
      </c>
      <c r="D19" s="423">
        <v>7000</v>
      </c>
      <c r="E19" s="424">
        <f t="shared" si="1"/>
        <v>2.9411764705882248E-2</v>
      </c>
      <c r="F19" s="423"/>
      <c r="G19" s="423"/>
      <c r="H19" s="423"/>
    </row>
    <row r="20" spans="2:8" s="419" customFormat="1" ht="17.100000000000001" customHeight="1" x14ac:dyDescent="0.2">
      <c r="B20" s="421" t="s">
        <v>483</v>
      </c>
      <c r="C20" s="422">
        <v>3870</v>
      </c>
      <c r="D20" s="423">
        <v>4000</v>
      </c>
      <c r="E20" s="424">
        <f t="shared" si="1"/>
        <v>3.3591731266149782E-2</v>
      </c>
      <c r="F20" s="423"/>
      <c r="G20" s="423"/>
      <c r="H20" s="423"/>
    </row>
    <row r="21" spans="2:8" s="419" customFormat="1" ht="17.100000000000001" customHeight="1" x14ac:dyDescent="0.2">
      <c r="B21" s="421" t="s">
        <v>484</v>
      </c>
      <c r="C21" s="422">
        <v>10600</v>
      </c>
      <c r="D21" s="423">
        <v>11000</v>
      </c>
      <c r="E21" s="424">
        <f t="shared" si="1"/>
        <v>3.7735849056603765E-2</v>
      </c>
      <c r="F21" s="423"/>
      <c r="G21" s="423"/>
      <c r="H21" s="423"/>
    </row>
    <row r="22" spans="2:8" s="419" customFormat="1" ht="17.100000000000001" customHeight="1" x14ac:dyDescent="0.2">
      <c r="B22" s="421" t="s">
        <v>595</v>
      </c>
      <c r="C22" s="422">
        <v>65200</v>
      </c>
      <c r="D22" s="423">
        <v>69000</v>
      </c>
      <c r="E22" s="424">
        <f t="shared" si="1"/>
        <v>5.8282208588957163E-2</v>
      </c>
      <c r="F22" s="423"/>
      <c r="G22" s="423"/>
      <c r="H22" s="423"/>
    </row>
    <row r="23" spans="2:8" s="419" customFormat="1" ht="17.100000000000001" customHeight="1" x14ac:dyDescent="0.2">
      <c r="B23" s="421" t="s">
        <v>485</v>
      </c>
      <c r="C23" s="422">
        <v>65200</v>
      </c>
      <c r="D23" s="423">
        <v>69000</v>
      </c>
      <c r="E23" s="424">
        <f t="shared" si="1"/>
        <v>5.8282208588957163E-2</v>
      </c>
      <c r="F23" s="423"/>
      <c r="G23" s="423"/>
      <c r="H23" s="423"/>
    </row>
    <row r="24" spans="2:8" s="419" customFormat="1" ht="17.100000000000001" customHeight="1" x14ac:dyDescent="0.2">
      <c r="B24" s="421" t="s">
        <v>659</v>
      </c>
      <c r="C24" s="422">
        <v>121300</v>
      </c>
      <c r="D24" s="423">
        <v>128000</v>
      </c>
      <c r="E24" s="424">
        <f t="shared" ref="E24" si="4">((D24/C24)-1)</f>
        <v>5.5234954657872981E-2</v>
      </c>
      <c r="F24" s="423"/>
      <c r="G24" s="423"/>
      <c r="H24" s="423"/>
    </row>
    <row r="25" spans="2:8" s="419" customFormat="1" ht="17.100000000000001" customHeight="1" x14ac:dyDescent="0.2">
      <c r="B25" s="421" t="s">
        <v>660</v>
      </c>
      <c r="C25" s="422">
        <v>121300</v>
      </c>
      <c r="D25" s="423">
        <v>128000</v>
      </c>
      <c r="E25" s="424">
        <f t="shared" si="1"/>
        <v>5.5234954657872981E-2</v>
      </c>
      <c r="F25" s="423"/>
      <c r="G25" s="423"/>
      <c r="H25" s="423"/>
    </row>
    <row r="26" spans="2:8" s="419" customFormat="1" ht="17.100000000000001" customHeight="1" x14ac:dyDescent="0.2">
      <c r="B26" s="421" t="s">
        <v>848</v>
      </c>
      <c r="C26" s="422">
        <v>364000</v>
      </c>
      <c r="D26" s="423">
        <v>384000</v>
      </c>
      <c r="E26" s="424">
        <f t="shared" si="1"/>
        <v>5.4945054945054972E-2</v>
      </c>
      <c r="F26" s="423"/>
      <c r="G26" s="423"/>
      <c r="H26" s="423"/>
    </row>
    <row r="27" spans="2:8" s="419" customFormat="1" ht="17.100000000000001" customHeight="1" x14ac:dyDescent="0.2">
      <c r="B27" s="425" t="s">
        <v>560</v>
      </c>
      <c r="C27" s="428" t="s">
        <v>717</v>
      </c>
      <c r="D27" s="428" t="s">
        <v>717</v>
      </c>
      <c r="E27" s="428" t="s">
        <v>717</v>
      </c>
      <c r="F27" s="423"/>
      <c r="G27" s="423"/>
      <c r="H27" s="423"/>
    </row>
    <row r="28" spans="2:8" s="419" customFormat="1" ht="17.100000000000001" customHeight="1" x14ac:dyDescent="0.2">
      <c r="B28" s="421" t="s">
        <v>486</v>
      </c>
      <c r="C28" s="422">
        <v>285500</v>
      </c>
      <c r="D28" s="423">
        <v>301000</v>
      </c>
      <c r="E28" s="424">
        <f t="shared" si="1"/>
        <v>5.4290718038528807E-2</v>
      </c>
      <c r="F28" s="423"/>
      <c r="G28" s="423"/>
      <c r="H28" s="423"/>
    </row>
    <row r="29" spans="2:8" s="419" customFormat="1" x14ac:dyDescent="0.2">
      <c r="B29" s="421" t="s">
        <v>516</v>
      </c>
      <c r="C29" s="422">
        <v>104000</v>
      </c>
      <c r="D29" s="423">
        <v>110000</v>
      </c>
      <c r="E29" s="424">
        <f t="shared" si="1"/>
        <v>5.7692307692307709E-2</v>
      </c>
      <c r="F29" s="423"/>
      <c r="G29" s="423"/>
      <c r="H29" s="423"/>
    </row>
    <row r="30" spans="2:8" s="419" customFormat="1" x14ac:dyDescent="0.2">
      <c r="D30" s="419" t="s">
        <v>571</v>
      </c>
      <c r="G30" s="423"/>
      <c r="H30" s="423"/>
    </row>
    <row r="31" spans="2:8" s="419" customFormat="1" ht="15.75" x14ac:dyDescent="0.2">
      <c r="B31" s="429" t="s">
        <v>718</v>
      </c>
      <c r="G31" s="423"/>
      <c r="H31" s="423"/>
    </row>
    <row r="32" spans="2:8" s="419" customFormat="1" x14ac:dyDescent="0.2"/>
    <row r="33" s="419" customFormat="1" x14ac:dyDescent="0.2"/>
    <row r="34" s="419" customFormat="1" x14ac:dyDescent="0.2"/>
  </sheetData>
  <mergeCells count="2">
    <mergeCell ref="B4:E4"/>
    <mergeCell ref="B5:E5"/>
  </mergeCells>
  <hyperlinks>
    <hyperlink ref="A1" location="Contenido!A1" display="Volver al menú" xr:uid="{00000000-0004-0000-0600-000000000000}"/>
  </hyperlinks>
  <pageMargins left="0.75" right="0.75" top="1" bottom="1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Contenido</vt:lpstr>
      <vt:lpstr>Valor de los Proyectos 2022</vt:lpstr>
      <vt:lpstr>Presupuesto 2022</vt:lpstr>
      <vt:lpstr>Recursos Inversiones 2022</vt:lpstr>
      <vt:lpstr>Valores Matrícula 2021-2022</vt:lpstr>
      <vt:lpstr>Valores Matricula2017-2018 (2)</vt:lpstr>
      <vt:lpstr>Otros Conceptos 2022</vt:lpstr>
      <vt:lpstr>'Valores Matrícula 2021-2022'!Área_de_impresión</vt:lpstr>
      <vt:lpstr>'Valores Matricula2017-2018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Guarnizo Sánchez</dc:creator>
  <cp:lastModifiedBy>Pacho</cp:lastModifiedBy>
  <cp:lastPrinted>2017-11-30T12:56:45Z</cp:lastPrinted>
  <dcterms:created xsi:type="dcterms:W3CDTF">2015-11-22T13:47:05Z</dcterms:created>
  <dcterms:modified xsi:type="dcterms:W3CDTF">2021-12-14T14:35:34Z</dcterms:modified>
</cp:coreProperties>
</file>